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showInkAnnotation="0" autoCompressPictures="0"/>
  <bookViews>
    <workbookView xWindow="0" yWindow="0" windowWidth="20480" windowHeight="13800" tabRatio="500"/>
  </bookViews>
  <sheets>
    <sheet name="しゃへい計算" sheetId="1" r:id="rId1"/>
    <sheet name="フィッテング定数" sheetId="2" r:id="rId2"/>
    <sheet name="利用線錐空気カーマ" sheetId="3" r:id="rId3"/>
    <sheet name="透過" sheetId="5" r:id="rId4"/>
    <sheet name="散乱係数" sheetId="4" r:id="rId5"/>
  </sheets>
  <externalReferences>
    <externalReference r:id="rId6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5" l="1"/>
  <c r="E7" i="5"/>
  <c r="D7" i="5"/>
  <c r="C11" i="5"/>
  <c r="F7" i="5"/>
  <c r="G7" i="5"/>
  <c r="C12" i="5"/>
  <c r="C13" i="5"/>
  <c r="C14" i="5"/>
  <c r="C15" i="5"/>
  <c r="H7" i="5"/>
  <c r="I5" i="1"/>
  <c r="E21" i="5"/>
  <c r="D21" i="5"/>
  <c r="C25" i="5"/>
  <c r="F21" i="5"/>
  <c r="G21" i="5"/>
  <c r="C26" i="5"/>
  <c r="C27" i="5"/>
  <c r="C28" i="5"/>
  <c r="C29" i="5"/>
  <c r="H21" i="5"/>
  <c r="I6" i="1"/>
  <c r="D12" i="1"/>
  <c r="E12" i="1"/>
  <c r="B4" i="3"/>
  <c r="B6" i="3"/>
  <c r="B7" i="3"/>
  <c r="C12" i="1"/>
  <c r="C14" i="1"/>
  <c r="B2" i="4"/>
  <c r="Q4" i="4"/>
  <c r="Q6" i="4"/>
  <c r="Q7" i="4"/>
  <c r="B28" i="4"/>
  <c r="K12" i="1"/>
  <c r="C17" i="1"/>
  <c r="L13" i="1"/>
  <c r="R4" i="4"/>
  <c r="R6" i="4"/>
  <c r="R7" i="4"/>
  <c r="B29" i="4"/>
  <c r="B30" i="4" a="1"/>
  <c r="S4" i="4"/>
  <c r="S6" i="4"/>
  <c r="S7" i="4"/>
  <c r="B30" i="4"/>
  <c r="T4" i="4"/>
  <c r="T6" i="4"/>
  <c r="T7" i="4"/>
  <c r="B31" i="4"/>
  <c r="P4" i="4"/>
  <c r="P6" i="4"/>
  <c r="P7" i="4"/>
  <c r="B27" i="4"/>
  <c r="O4" i="4"/>
  <c r="O6" i="4"/>
  <c r="O7" i="4"/>
  <c r="B26" i="4"/>
  <c r="N4" i="4"/>
  <c r="N6" i="4"/>
  <c r="N7" i="4"/>
  <c r="B25" i="4"/>
  <c r="M4" i="4"/>
  <c r="M6" i="4"/>
  <c r="M7" i="4"/>
  <c r="B24" i="4"/>
  <c r="L4" i="4"/>
  <c r="L6" i="4"/>
  <c r="L7" i="4"/>
  <c r="B23" i="4"/>
  <c r="K4" i="4"/>
  <c r="K6" i="4"/>
  <c r="K7" i="4"/>
  <c r="B22" i="4"/>
  <c r="J4" i="4"/>
  <c r="J6" i="4"/>
  <c r="J7" i="4"/>
  <c r="B21" i="4"/>
  <c r="I4" i="4"/>
  <c r="I6" i="4"/>
  <c r="I7" i="4"/>
  <c r="B20" i="4"/>
  <c r="H4" i="4"/>
  <c r="H6" i="4"/>
  <c r="H7" i="4"/>
  <c r="B19" i="4"/>
  <c r="G4" i="4"/>
  <c r="G6" i="4"/>
  <c r="G7" i="4"/>
  <c r="B18" i="4"/>
  <c r="F4" i="4"/>
  <c r="F6" i="4"/>
  <c r="F7" i="4"/>
  <c r="B17" i="4"/>
  <c r="E4" i="4"/>
  <c r="E6" i="4"/>
  <c r="E7" i="4"/>
  <c r="B16" i="4"/>
  <c r="D4" i="4"/>
  <c r="D6" i="4"/>
  <c r="D7" i="4"/>
  <c r="B15" i="4"/>
  <c r="C4" i="4"/>
  <c r="C6" i="4"/>
  <c r="C7" i="4"/>
  <c r="B14" i="4"/>
  <c r="B4" i="4"/>
  <c r="B6" i="4"/>
  <c r="B7" i="4"/>
  <c r="B13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</calcChain>
</file>

<file path=xl/comments1.xml><?xml version="1.0" encoding="utf-8"?>
<comments xmlns="http://schemas.openxmlformats.org/spreadsheetml/2006/main">
  <authors>
    <author>山口 一郎</author>
  </authors>
  <commentList>
    <comment ref="L13" authorId="0">
      <text>
        <r>
          <rPr>
            <b/>
            <sz val="10"/>
            <color indexed="81"/>
            <rFont val="ＭＳ Ｐゴシック"/>
            <family val="2"/>
            <charset val="128"/>
          </rPr>
          <t>DAS×320</t>
        </r>
      </text>
    </comment>
  </commentList>
</comments>
</file>

<file path=xl/sharedStrings.xml><?xml version="1.0" encoding="utf-8"?>
<sst xmlns="http://schemas.openxmlformats.org/spreadsheetml/2006/main" count="93" uniqueCount="66">
  <si>
    <t>シンプキンの方法によるしゃへい計算例</t>
    <rPh sb="6" eb="8">
      <t>ホウホウ</t>
    </rPh>
    <rPh sb="15" eb="18">
      <t>ケイサンレイ</t>
    </rPh>
    <phoneticPr fontId="3"/>
  </si>
  <si>
    <t>Ｘ線ＣＴ装置の遮蔽計算</t>
    <rPh sb="1" eb="2">
      <t>セン</t>
    </rPh>
    <rPh sb="4" eb="6">
      <t>ソウチ</t>
    </rPh>
    <rPh sb="7" eb="11">
      <t>シャヘイケイサン</t>
    </rPh>
    <phoneticPr fontId="3"/>
  </si>
  <si>
    <t>遮蔽パラメータ</t>
    <rPh sb="0" eb="2">
      <t>シャヘイ</t>
    </rPh>
    <phoneticPr fontId="3"/>
  </si>
  <si>
    <t>α</t>
    <rPh sb="0" eb="1">
      <t>アルファ</t>
    </rPh>
    <phoneticPr fontId="3"/>
  </si>
  <si>
    <t>β</t>
    <rPh sb="0" eb="1">
      <t>ベータ</t>
    </rPh>
    <phoneticPr fontId="3"/>
  </si>
  <si>
    <t>γ</t>
    <rPh sb="0" eb="1">
      <t>ガンマ</t>
    </rPh>
    <phoneticPr fontId="3"/>
  </si>
  <si>
    <t>厚さ(mm)</t>
    <rPh sb="0" eb="1">
      <t>アツ</t>
    </rPh>
    <phoneticPr fontId="3"/>
  </si>
  <si>
    <t>K(μGy/(mAs)</t>
    <rPh sb="2" eb="3">
      <t>マイクロ</t>
    </rPh>
    <phoneticPr fontId="3"/>
  </si>
  <si>
    <t>Dt</t>
    <phoneticPr fontId="3"/>
  </si>
  <si>
    <t>W(mAs)</t>
    <phoneticPr fontId="3"/>
  </si>
  <si>
    <t>E/Ka(Sv/Gy)</t>
    <phoneticPr fontId="3"/>
  </si>
  <si>
    <t>U</t>
    <phoneticPr fontId="3"/>
  </si>
  <si>
    <t>T</t>
    <phoneticPr fontId="3"/>
  </si>
  <si>
    <t>d2(m)</t>
    <phoneticPr fontId="3"/>
  </si>
  <si>
    <t>d3(m)</t>
    <phoneticPr fontId="3"/>
  </si>
  <si>
    <t>a</t>
    <phoneticPr fontId="3"/>
  </si>
  <si>
    <t>F</t>
    <phoneticPr fontId="3"/>
  </si>
  <si>
    <t>実効稼働負荷</t>
    <rPh sb="0" eb="6">
      <t>ジッコウカドウフカ</t>
    </rPh>
    <phoneticPr fontId="3"/>
  </si>
  <si>
    <t>Ｘ線装置から利用線錐方向に１ｍ離れた地点での空気カーマ</t>
    <rPh sb="1" eb="2">
      <t>セン</t>
    </rPh>
    <rPh sb="2" eb="4">
      <t>ソウチ</t>
    </rPh>
    <rPh sb="6" eb="10">
      <t>リヨウセンスイ</t>
    </rPh>
    <rPh sb="10" eb="12">
      <t>ホウコウ</t>
    </rPh>
    <rPh sb="15" eb="16">
      <t>ハナ</t>
    </rPh>
    <rPh sb="18" eb="20">
      <t>チテン</t>
    </rPh>
    <rPh sb="22" eb="24">
      <t>クウキ</t>
    </rPh>
    <phoneticPr fontId="3"/>
  </si>
  <si>
    <t>kVp</t>
    <phoneticPr fontId="3"/>
  </si>
  <si>
    <t>mGy/(mA min)</t>
    <phoneticPr fontId="3"/>
  </si>
  <si>
    <t>μGy/(mA sec)</t>
    <rPh sb="0" eb="1">
      <t>マイクロ</t>
    </rPh>
    <phoneticPr fontId="3"/>
  </si>
  <si>
    <t>散乱係数</t>
    <rPh sb="0" eb="4">
      <t>サンランケイスウ</t>
    </rPh>
    <phoneticPr fontId="3"/>
  </si>
  <si>
    <t>kVp</t>
    <phoneticPr fontId="3"/>
  </si>
  <si>
    <t>θ</t>
    <phoneticPr fontId="3"/>
  </si>
  <si>
    <t>θ</t>
  </si>
  <si>
    <r>
      <t>表　1　遮蔽体ごとのX線の減衰曲線を求めるためのフィッティング定数（α(mm</t>
    </r>
    <r>
      <rPr>
        <b/>
        <vertAlign val="superscript"/>
        <sz val="11"/>
        <rFont val="ＭＳ Ｐゴシック"/>
        <family val="3"/>
        <charset val="128"/>
      </rPr>
      <t>ー１</t>
    </r>
    <r>
      <rPr>
        <b/>
        <sz val="11"/>
        <rFont val="ＭＳ Ｐゴシック"/>
        <family val="3"/>
        <charset val="128"/>
      </rPr>
      <t>）、β（mm</t>
    </r>
    <r>
      <rPr>
        <b/>
        <vertAlign val="superscript"/>
        <sz val="11"/>
        <rFont val="ＭＳ Ｐゴシック"/>
        <family val="3"/>
        <charset val="128"/>
      </rPr>
      <t>ー１</t>
    </r>
    <r>
      <rPr>
        <b/>
        <sz val="11"/>
        <rFont val="ＭＳ Ｐゴシック"/>
        <family val="3"/>
        <charset val="128"/>
      </rPr>
      <t>）、γ）</t>
    </r>
    <rPh sb="0" eb="1">
      <t>ヒョウ</t>
    </rPh>
    <rPh sb="10" eb="12">
      <t>エックスセン</t>
    </rPh>
    <rPh sb="13" eb="15">
      <t>ゲンスイ</t>
    </rPh>
    <rPh sb="15" eb="17">
      <t>キョクセン</t>
    </rPh>
    <rPh sb="18" eb="19">
      <t>モト</t>
    </rPh>
    <rPh sb="31" eb="33">
      <t>テイスウ</t>
    </rPh>
    <phoneticPr fontId="6"/>
  </si>
  <si>
    <t>　</t>
  </si>
  <si>
    <t>管電圧25ー35kVpのデータはモリブデン陽極X線管、他のデータはタングステン陽極X線管</t>
    <rPh sb="0" eb="3">
      <t>カンデンアツ</t>
    </rPh>
    <rPh sb="21" eb="23">
      <t>ヨウキョク</t>
    </rPh>
    <rPh sb="23" eb="25">
      <t>エックスセン</t>
    </rPh>
    <rPh sb="25" eb="26">
      <t>カン</t>
    </rPh>
    <rPh sb="27" eb="28">
      <t>タ</t>
    </rPh>
    <rPh sb="39" eb="41">
      <t>ヨウキョク</t>
    </rPh>
    <rPh sb="41" eb="43">
      <t>エックスセン</t>
    </rPh>
    <rPh sb="43" eb="44">
      <t>カン</t>
    </rPh>
    <phoneticPr fontId="6"/>
  </si>
  <si>
    <t>管電圧</t>
  </si>
  <si>
    <t>鉛</t>
  </si>
  <si>
    <t>コンクリート</t>
  </si>
  <si>
    <t>石膏</t>
  </si>
  <si>
    <t>鉄</t>
  </si>
  <si>
    <t>ガラス</t>
  </si>
  <si>
    <r>
      <t>木（0.55gcm</t>
    </r>
    <r>
      <rPr>
        <b/>
        <vertAlign val="superscript"/>
        <sz val="11"/>
        <rFont val="ＭＳ Ｐゴシック"/>
        <family val="3"/>
        <charset val="128"/>
      </rPr>
      <t>-3</t>
    </r>
    <r>
      <rPr>
        <b/>
        <sz val="11"/>
        <rFont val="ＭＳ Ｐゴシック"/>
        <family val="3"/>
        <charset val="128"/>
      </rPr>
      <t>)</t>
    </r>
    <phoneticPr fontId="6"/>
  </si>
  <si>
    <t>(kV)</t>
    <phoneticPr fontId="6"/>
  </si>
  <si>
    <t>α</t>
    <phoneticPr fontId="6"/>
  </si>
  <si>
    <t>β</t>
    <phoneticPr fontId="6"/>
  </si>
  <si>
    <t>γ</t>
  </si>
  <si>
    <t xml:space="preserve"> </t>
  </si>
  <si>
    <t>透過割合</t>
    <rPh sb="0" eb="2">
      <t>トウカリツ</t>
    </rPh>
    <rPh sb="2" eb="4">
      <t>ワリアイ</t>
    </rPh>
    <phoneticPr fontId="3"/>
  </si>
  <si>
    <t>コンクリート</t>
    <phoneticPr fontId="3"/>
  </si>
  <si>
    <t>90度散乱係数との比</t>
    <rPh sb="2" eb="3">
      <t>ド</t>
    </rPh>
    <rPh sb="3" eb="7">
      <t>サンランケイスウ</t>
    </rPh>
    <rPh sb="9" eb="10">
      <t>ヒ</t>
    </rPh>
    <phoneticPr fontId="2"/>
  </si>
  <si>
    <t>散乱線</t>
    <rPh sb="0" eb="3">
      <t>サンランセン</t>
    </rPh>
    <phoneticPr fontId="2"/>
  </si>
  <si>
    <t>散乱係数(1e-6)</t>
    <phoneticPr fontId="2"/>
  </si>
  <si>
    <t>散乱係数（400cm2あたり）(1e-6)</t>
    <phoneticPr fontId="2"/>
  </si>
  <si>
    <t>計算過程</t>
    <rPh sb="0" eb="4">
      <t>ケイサンカテイ</t>
    </rPh>
    <phoneticPr fontId="2"/>
  </si>
  <si>
    <t>実効線量</t>
    <rPh sb="0" eb="4">
      <t>ジッコウセンリョウ</t>
    </rPh>
    <phoneticPr fontId="3"/>
  </si>
  <si>
    <t>kVp</t>
  </si>
  <si>
    <t>鉛</t>
    <rPh sb="0" eb="1">
      <t>ナマリ</t>
    </rPh>
    <phoneticPr fontId="3"/>
  </si>
  <si>
    <t>散乱角度</t>
    <rPh sb="0" eb="4">
      <t>サンランカクド</t>
    </rPh>
    <phoneticPr fontId="2"/>
  </si>
  <si>
    <t>管電流[mA]</t>
    <rPh sb="0" eb="3">
      <t>カンデンリュウ</t>
    </rPh>
    <phoneticPr fontId="2"/>
  </si>
  <si>
    <t>撮影時間[s/回]</t>
    <rPh sb="0" eb="4">
      <t>サツエイジカン</t>
    </rPh>
    <rPh sb="7" eb="8">
      <t>カイ</t>
    </rPh>
    <phoneticPr fontId="2"/>
  </si>
  <si>
    <t>回転回数[回／人]</t>
    <rPh sb="0" eb="2">
      <t>カイテン</t>
    </rPh>
    <rPh sb="2" eb="4">
      <t>カイスウ</t>
    </rPh>
    <rPh sb="7" eb="8">
      <t>ヒト</t>
    </rPh>
    <phoneticPr fontId="2"/>
  </si>
  <si>
    <t>稼働日数[日／週]</t>
    <rPh sb="0" eb="4">
      <t>カドウニッスウ</t>
    </rPh>
    <rPh sb="5" eb="6">
      <t>ニチ</t>
    </rPh>
    <rPh sb="7" eb="8">
      <t>シュウ</t>
    </rPh>
    <phoneticPr fontId="2"/>
  </si>
  <si>
    <t>撮影人数[人／日]</t>
    <rPh sb="0" eb="4">
      <t>サツエイニンズウ</t>
    </rPh>
    <rPh sb="5" eb="6">
      <t>ニン</t>
    </rPh>
    <rPh sb="7" eb="8">
      <t>ニチ</t>
    </rPh>
    <phoneticPr fontId="2"/>
  </si>
  <si>
    <t>mAs/週</t>
    <rPh sb="4" eb="5">
      <t>シュウ</t>
    </rPh>
    <phoneticPr fontId="3"/>
  </si>
  <si>
    <t>μSv/週</t>
    <rPh sb="0" eb="1">
      <t>マイクロ</t>
    </rPh>
    <rPh sb="4" eb="5">
      <t>シュウ</t>
    </rPh>
    <phoneticPr fontId="3"/>
  </si>
  <si>
    <t>コンクリート(mm)</t>
    <phoneticPr fontId="2"/>
  </si>
  <si>
    <t>厚み</t>
  </si>
  <si>
    <t>鉛(mm)</t>
    <rPh sb="0" eb="1">
      <t>ナマリ</t>
    </rPh>
    <phoneticPr fontId="2"/>
  </si>
  <si>
    <t>透過割合</t>
    <rPh sb="0" eb="4">
      <t>トウカワリアイ</t>
    </rPh>
    <phoneticPr fontId="2"/>
  </si>
  <si>
    <t>管電圧</t>
    <rPh sb="0" eb="3">
      <t>カンデンアツ</t>
    </rPh>
    <phoneticPr fontId="2"/>
  </si>
  <si>
    <t>度</t>
    <rPh sb="0" eb="1">
      <t>ド</t>
    </rPh>
    <phoneticPr fontId="2"/>
  </si>
  <si>
    <t>X線管からの漏えいも考慮する必要がある（散乱線ではビーム硬化するので）</t>
    <rPh sb="0" eb="3">
      <t>エックスセンカン</t>
    </rPh>
    <rPh sb="6" eb="7">
      <t>ロウ</t>
    </rPh>
    <rPh sb="10" eb="12">
      <t>コウリョ</t>
    </rPh>
    <rPh sb="14" eb="16">
      <t>ヒツヨウ</t>
    </rPh>
    <rPh sb="20" eb="23">
      <t>サンランセン</t>
    </rPh>
    <rPh sb="28" eb="30">
      <t>コウカ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</si>
</sst>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8" formatCode="0.0_ "/>
    <numFmt numFmtId="179" formatCode="0.0%"/>
    <numFmt numFmtId="181" formatCode="0.0E+00"/>
    <numFmt numFmtId="183" formatCode="0.000"/>
    <numFmt numFmtId="184" formatCode="0.0000"/>
    <numFmt numFmtId="185" formatCode="0.00000"/>
    <numFmt numFmtId="186" formatCode="0.000000"/>
  </numFmts>
  <fonts count="10" x14ac:knownFonts="1">
    <font>
      <sz val="12"/>
      <color theme="1"/>
      <name val="ＭＳ Ｐゴシック"/>
      <family val="2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Osaka"/>
      <family val="3"/>
      <charset val="128"/>
    </font>
    <font>
      <b/>
      <sz val="11"/>
      <name val="ＭＳ Ｐゴシック"/>
      <family val="3"/>
      <charset val="128"/>
    </font>
    <font>
      <b/>
      <vertAlign val="superscript"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b/>
      <sz val="10"/>
      <color indexed="81"/>
      <name val="ＭＳ Ｐゴシック"/>
      <family val="2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3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178" fontId="0" fillId="0" borderId="0" xfId="0" applyNumberFormat="1"/>
    <xf numFmtId="0" fontId="0" fillId="3" borderId="1" xfId="0" applyFill="1" applyBorder="1" applyAlignment="1">
      <alignment horizontal="center"/>
    </xf>
    <xf numFmtId="0" fontId="0" fillId="0" borderId="0" xfId="0" applyBorder="1"/>
    <xf numFmtId="0" fontId="0" fillId="4" borderId="1" xfId="0" applyFill="1" applyBorder="1"/>
    <xf numFmtId="179" fontId="0" fillId="0" borderId="0" xfId="0" applyNumberFormat="1"/>
    <xf numFmtId="178" fontId="0" fillId="5" borderId="1" xfId="0" applyNumberFormat="1" applyFill="1" applyBorder="1"/>
    <xf numFmtId="178" fontId="0" fillId="0" borderId="1" xfId="0" applyNumberFormat="1" applyBorder="1"/>
    <xf numFmtId="181" fontId="0" fillId="0" borderId="0" xfId="0" applyNumberFormat="1"/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83" fontId="0" fillId="0" borderId="12" xfId="0" applyNumberFormat="1" applyBorder="1"/>
    <xf numFmtId="183" fontId="0" fillId="0" borderId="13" xfId="0" applyNumberFormat="1" applyBorder="1"/>
    <xf numFmtId="184" fontId="0" fillId="0" borderId="14" xfId="0" applyNumberFormat="1" applyBorder="1"/>
    <xf numFmtId="185" fontId="0" fillId="0" borderId="15" xfId="0" applyNumberFormat="1" applyBorder="1"/>
    <xf numFmtId="184" fontId="0" fillId="0" borderId="13" xfId="0" applyNumberFormat="1" applyBorder="1"/>
    <xf numFmtId="184" fontId="0" fillId="0" borderId="16" xfId="0" applyNumberFormat="1" applyBorder="1"/>
    <xf numFmtId="185" fontId="0" fillId="0" borderId="12" xfId="0" applyNumberFormat="1" applyBorder="1"/>
    <xf numFmtId="185" fontId="0" fillId="0" borderId="13" xfId="0" applyNumberFormat="1" applyBorder="1"/>
    <xf numFmtId="184" fontId="0" fillId="0" borderId="15" xfId="0" applyNumberFormat="1" applyBorder="1"/>
    <xf numFmtId="0" fontId="0" fillId="0" borderId="16" xfId="0" applyBorder="1"/>
    <xf numFmtId="0" fontId="0" fillId="0" borderId="15" xfId="0" applyBorder="1"/>
    <xf numFmtId="186" fontId="0" fillId="0" borderId="13" xfId="0" applyNumberFormat="1" applyBorder="1"/>
    <xf numFmtId="0" fontId="4" fillId="0" borderId="17" xfId="0" applyFont="1" applyBorder="1" applyAlignment="1">
      <alignment horizontal="center"/>
    </xf>
    <xf numFmtId="183" fontId="0" fillId="0" borderId="18" xfId="0" applyNumberFormat="1" applyBorder="1"/>
    <xf numFmtId="183" fontId="0" fillId="0" borderId="1" xfId="0" applyNumberFormat="1" applyBorder="1"/>
    <xf numFmtId="184" fontId="0" fillId="0" borderId="19" xfId="0" applyNumberFormat="1" applyBorder="1"/>
    <xf numFmtId="185" fontId="0" fillId="0" borderId="20" xfId="0" applyNumberFormat="1" applyBorder="1"/>
    <xf numFmtId="184" fontId="0" fillId="0" borderId="1" xfId="0" applyNumberFormat="1" applyBorder="1"/>
    <xf numFmtId="184" fontId="0" fillId="0" borderId="21" xfId="0" applyNumberFormat="1" applyBorder="1"/>
    <xf numFmtId="185" fontId="0" fillId="0" borderId="18" xfId="0" applyNumberFormat="1" applyBorder="1"/>
    <xf numFmtId="185" fontId="0" fillId="0" borderId="1" xfId="0" applyNumberFormat="1" applyBorder="1"/>
    <xf numFmtId="184" fontId="0" fillId="0" borderId="20" xfId="0" applyNumberFormat="1" applyBorder="1"/>
    <xf numFmtId="0" fontId="0" fillId="0" borderId="21" xfId="0" applyBorder="1"/>
    <xf numFmtId="186" fontId="0" fillId="0" borderId="20" xfId="0" applyNumberFormat="1" applyBorder="1"/>
    <xf numFmtId="186" fontId="0" fillId="0" borderId="1" xfId="0" applyNumberFormat="1" applyBorder="1"/>
    <xf numFmtId="0" fontId="4" fillId="0" borderId="22" xfId="0" applyFont="1" applyBorder="1" applyAlignment="1">
      <alignment horizontal="center"/>
    </xf>
    <xf numFmtId="183" fontId="0" fillId="0" borderId="23" xfId="0" applyNumberFormat="1" applyBorder="1"/>
    <xf numFmtId="183" fontId="0" fillId="0" borderId="8" xfId="0" applyNumberFormat="1" applyBorder="1"/>
    <xf numFmtId="184" fontId="0" fillId="0" borderId="24" xfId="0" applyNumberFormat="1" applyBorder="1"/>
    <xf numFmtId="185" fontId="0" fillId="0" borderId="25" xfId="0" applyNumberFormat="1" applyBorder="1"/>
    <xf numFmtId="184" fontId="0" fillId="0" borderId="8" xfId="0" applyNumberFormat="1" applyBorder="1"/>
    <xf numFmtId="184" fontId="0" fillId="0" borderId="26" xfId="0" applyNumberFormat="1" applyBorder="1"/>
    <xf numFmtId="185" fontId="0" fillId="0" borderId="23" xfId="0" applyNumberFormat="1" applyBorder="1"/>
    <xf numFmtId="185" fontId="0" fillId="0" borderId="8" xfId="0" applyNumberFormat="1" applyBorder="1"/>
    <xf numFmtId="184" fontId="0" fillId="0" borderId="25" xfId="0" applyNumberFormat="1" applyBorder="1"/>
    <xf numFmtId="0" fontId="0" fillId="0" borderId="26" xfId="0" applyBorder="1"/>
    <xf numFmtId="186" fontId="0" fillId="0" borderId="25" xfId="0" applyNumberFormat="1" applyBorder="1"/>
    <xf numFmtId="186" fontId="0" fillId="0" borderId="8" xfId="0" applyNumberFormat="1" applyBorder="1"/>
    <xf numFmtId="181" fontId="0" fillId="0" borderId="1" xfId="0" applyNumberFormat="1" applyBorder="1"/>
    <xf numFmtId="178" fontId="0" fillId="4" borderId="1" xfId="0" applyNumberFormat="1" applyFill="1" applyBorder="1"/>
    <xf numFmtId="181" fontId="0" fillId="4" borderId="1" xfId="0" applyNumberFormat="1" applyFill="1" applyBorder="1"/>
    <xf numFmtId="0" fontId="1" fillId="0" borderId="0" xfId="0" applyFont="1"/>
    <xf numFmtId="181" fontId="0" fillId="6" borderId="1" xfId="0" applyNumberFormat="1" applyFill="1" applyBorder="1"/>
    <xf numFmtId="0" fontId="0" fillId="7" borderId="1" xfId="0" applyFill="1" applyBorder="1"/>
  </cellXfs>
  <cellStyles count="43"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7" builtinId="8" hidden="1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ハイパーリンク" xfId="17" builtinId="8" hidden="1"/>
    <cellStyle name="ハイパーリンク" xfId="19" builtinId="8" hidden="1"/>
    <cellStyle name="ハイパーリンク" xfId="21" builtinId="8" hidden="1"/>
    <cellStyle name="ハイパーリンク" xfId="23" builtinId="8" hidden="1"/>
    <cellStyle name="ハイパーリンク" xfId="25" builtinId="8" hidden="1"/>
    <cellStyle name="ハイパーリンク" xfId="27" builtinId="8" hidden="1"/>
    <cellStyle name="ハイパーリンク" xfId="29" builtinId="8" hidden="1"/>
    <cellStyle name="ハイパーリンク" xfId="31" builtinId="8" hidden="1"/>
    <cellStyle name="ハイパーリンク" xfId="33" builtinId="8" hidden="1"/>
    <cellStyle name="ハイパーリンク" xfId="35" builtinId="8" hidden="1"/>
    <cellStyle name="ハイパーリンク" xfId="37" builtinId="8" hidden="1"/>
    <cellStyle name="ハイパーリンク" xfId="39" builtinId="8" hidden="1"/>
    <cellStyle name="ハイパーリンク" xfId="41" builtinId="8" hidden="1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  <cellStyle name="表示済みのハイパーリンク" xfId="18" builtinId="9" hidden="1"/>
    <cellStyle name="表示済みのハイパーリンク" xfId="20" builtinId="9" hidden="1"/>
    <cellStyle name="表示済みのハイパーリンク" xfId="22" builtinId="9" hidden="1"/>
    <cellStyle name="表示済みのハイパーリンク" xfId="24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40" builtinId="9" hidden="1"/>
    <cellStyle name="表示済みのハイパーリンク" xfId="42" builtinId="9" hidden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散乱係数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677966522506366"/>
          <c:y val="0.147679515055744"/>
          <c:w val="0.745763174757002"/>
          <c:h val="0.757384941500174"/>
        </c:manualLayout>
      </c:layout>
      <c:scatterChart>
        <c:scatterStyle val="lineMarker"/>
        <c:varyColors val="0"/>
        <c:ser>
          <c:idx val="0"/>
          <c:order val="0"/>
          <c:tx>
            <c:strRef>
              <c:f>散乱係数!$A$7</c:f>
              <c:strCache>
                <c:ptCount val="1"/>
                <c:pt idx="0">
                  <c:v>散乱係数（400cm2あたり）(1e-6)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散乱係数!$B$8:$T$8</c:f>
              <c:numCache>
                <c:formatCode>General</c:formatCode>
                <c:ptCount val="19"/>
                <c:pt idx="0">
                  <c:v>0.0</c:v>
                </c:pt>
                <c:pt idx="1">
                  <c:v>10.0</c:v>
                </c:pt>
                <c:pt idx="2">
                  <c:v>20.0</c:v>
                </c:pt>
                <c:pt idx="3">
                  <c:v>30.0</c:v>
                </c:pt>
                <c:pt idx="4">
                  <c:v>40.0</c:v>
                </c:pt>
                <c:pt idx="5">
                  <c:v>50.0</c:v>
                </c:pt>
                <c:pt idx="6">
                  <c:v>60.0</c:v>
                </c:pt>
                <c:pt idx="7">
                  <c:v>70.0</c:v>
                </c:pt>
                <c:pt idx="8">
                  <c:v>80.0</c:v>
                </c:pt>
                <c:pt idx="9">
                  <c:v>90.0</c:v>
                </c:pt>
                <c:pt idx="10">
                  <c:v>100.0</c:v>
                </c:pt>
                <c:pt idx="11">
                  <c:v>110.0</c:v>
                </c:pt>
                <c:pt idx="12">
                  <c:v>120.0</c:v>
                </c:pt>
                <c:pt idx="13">
                  <c:v>130.0</c:v>
                </c:pt>
                <c:pt idx="14">
                  <c:v>140.0</c:v>
                </c:pt>
                <c:pt idx="15">
                  <c:v>150.0</c:v>
                </c:pt>
                <c:pt idx="16">
                  <c:v>160.0</c:v>
                </c:pt>
                <c:pt idx="17">
                  <c:v>170.0</c:v>
                </c:pt>
                <c:pt idx="18">
                  <c:v>180.0</c:v>
                </c:pt>
              </c:numCache>
            </c:numRef>
          </c:xVal>
          <c:yVal>
            <c:numRef>
              <c:f>散乱係数!$B$7:$T$7</c:f>
              <c:numCache>
                <c:formatCode>General</c:formatCode>
                <c:ptCount val="19"/>
                <c:pt idx="0">
                  <c:v>0.34376</c:v>
                </c:pt>
                <c:pt idx="1">
                  <c:v>0.30342156</c:v>
                </c:pt>
                <c:pt idx="2">
                  <c:v>0.27052768</c:v>
                </c:pt>
                <c:pt idx="3">
                  <c:v>0.24466052</c:v>
                </c:pt>
                <c:pt idx="4">
                  <c:v>0.22540224</c:v>
                </c:pt>
                <c:pt idx="5">
                  <c:v>0.212335</c:v>
                </c:pt>
                <c:pt idx="6">
                  <c:v>0.20504096</c:v>
                </c:pt>
                <c:pt idx="7">
                  <c:v>0.20310228</c:v>
                </c:pt>
                <c:pt idx="8">
                  <c:v>0.20610112</c:v>
                </c:pt>
                <c:pt idx="9">
                  <c:v>0.21361964</c:v>
                </c:pt>
                <c:pt idx="10">
                  <c:v>0.22524</c:v>
                </c:pt>
                <c:pt idx="11">
                  <c:v>0.24054436</c:v>
                </c:pt>
                <c:pt idx="12">
                  <c:v>0.25911488</c:v>
                </c:pt>
                <c:pt idx="13">
                  <c:v>0.28053372</c:v>
                </c:pt>
                <c:pt idx="14">
                  <c:v>0.30438304</c:v>
                </c:pt>
                <c:pt idx="15">
                  <c:v>0.330245</c:v>
                </c:pt>
                <c:pt idx="16">
                  <c:v>0.35770176</c:v>
                </c:pt>
                <c:pt idx="17">
                  <c:v>0.38633548</c:v>
                </c:pt>
                <c:pt idx="18">
                  <c:v>0.41572832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5316328"/>
        <c:axId val="1325319432"/>
      </c:scatterChart>
      <c:valAx>
        <c:axId val="13253163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Osaka"/>
                <a:ea typeface="Osaka"/>
                <a:cs typeface="Osaka"/>
              </a:defRPr>
            </a:pPr>
            <a:endParaRPr lang="ja-JP"/>
          </a:p>
        </c:txPr>
        <c:crossAx val="1325319432"/>
        <c:crosses val="autoZero"/>
        <c:crossBetween val="midCat"/>
      </c:valAx>
      <c:valAx>
        <c:axId val="13253194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Osaka"/>
                <a:ea typeface="Osaka"/>
                <a:cs typeface="Osaka"/>
              </a:defRPr>
            </a:pPr>
            <a:endParaRPr lang="ja-JP"/>
          </a:p>
        </c:txPr>
        <c:crossAx val="13253163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0847985745489"/>
          <c:y val="0.50422005854747"/>
          <c:w val="0.149152008541305"/>
          <c:h val="0.046378628637085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Osaka"/>
              <a:ea typeface="Osaka"/>
              <a:cs typeface="Osaka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Osaka"/>
          <a:ea typeface="Osaka"/>
          <a:cs typeface="Osaka"/>
        </a:defRPr>
      </a:pPr>
      <a:endParaRPr lang="ja-JP"/>
    </a:p>
  </c:txPr>
  <c:printSettings>
    <c:headerFooter/>
    <c:pageMargins b="0.75" l="0.7" r="0.7" t="0.75" header="0.512" footer="0.51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12700</xdr:rowOff>
    </xdr:from>
    <xdr:to>
      <xdr:col>9</xdr:col>
      <xdr:colOff>1016000</xdr:colOff>
      <xdr:row>37</xdr:row>
      <xdr:rowOff>215900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chiro/Documents/DATA/&#21402;&#29983;&#21172;&#20685;&#31185;&#23398;&#30740;&#31350;/2013&#32048;&#37326;&#29677;/CT&#12375;&#12419;&#12408;&#12356;&#35336;&#31639;/NCRP147&#27861;/simpki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4"/>
      <sheetName val="Sheet5"/>
      <sheetName val="Sheet11"/>
      <sheetName val="Sheet10"/>
      <sheetName val="Sheet9"/>
      <sheetName val="Sheet8"/>
      <sheetName val="Sheet7"/>
      <sheetName val="Sheet6"/>
      <sheetName val="Sheet3"/>
    </sheetNames>
    <sheetDataSet>
      <sheetData sheetId="0"/>
      <sheetData sheetId="1">
        <row r="48">
          <cell r="B48">
            <v>0</v>
          </cell>
          <cell r="C48">
            <v>10</v>
          </cell>
          <cell r="D48">
            <v>20</v>
          </cell>
          <cell r="E48">
            <v>30</v>
          </cell>
          <cell r="F48">
            <v>40</v>
          </cell>
          <cell r="G48">
            <v>50</v>
          </cell>
          <cell r="H48">
            <v>60</v>
          </cell>
          <cell r="I48">
            <v>70</v>
          </cell>
          <cell r="J48">
            <v>80</v>
          </cell>
          <cell r="K48">
            <v>90</v>
          </cell>
          <cell r="L48">
            <v>100</v>
          </cell>
          <cell r="M48">
            <v>110</v>
          </cell>
          <cell r="N48">
            <v>120</v>
          </cell>
          <cell r="O48">
            <v>130</v>
          </cell>
          <cell r="P48">
            <v>140</v>
          </cell>
          <cell r="Q48">
            <v>150</v>
          </cell>
          <cell r="R48">
            <v>160</v>
          </cell>
          <cell r="S48">
            <v>170</v>
          </cell>
          <cell r="T48">
            <v>180</v>
          </cell>
        </row>
        <row r="49">
          <cell r="A49" t="str">
            <v>散乱係数</v>
          </cell>
          <cell r="B49">
            <v>8.0339999999999989</v>
          </cell>
          <cell r="C49">
            <v>7.0255389999999984</v>
          </cell>
          <cell r="D49">
            <v>6.2031919999999987</v>
          </cell>
          <cell r="E49">
            <v>5.5565129999999998</v>
          </cell>
          <cell r="F49">
            <v>5.0750559999999991</v>
          </cell>
          <cell r="G49">
            <v>4.7483749999999993</v>
          </cell>
          <cell r="H49">
            <v>4.5660239999999988</v>
          </cell>
          <cell r="I49">
            <v>4.5175569999999983</v>
          </cell>
          <cell r="J49">
            <v>4.5925279999999997</v>
          </cell>
          <cell r="K49">
            <v>4.7804909999999987</v>
          </cell>
          <cell r="L49">
            <v>5.0709999999999997</v>
          </cell>
          <cell r="M49">
            <v>5.4536090000000002</v>
          </cell>
          <cell r="N49">
            <v>5.9178719999999991</v>
          </cell>
          <cell r="O49">
            <v>6.4533430000000029</v>
          </cell>
          <cell r="P49">
            <v>7.0495759999999974</v>
          </cell>
          <cell r="Q49">
            <v>7.6961249999999994</v>
          </cell>
          <cell r="R49">
            <v>8.3825440000000029</v>
          </cell>
          <cell r="S49">
            <v>9.0983870000000007</v>
          </cell>
          <cell r="T49">
            <v>9.8332079999999991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G20" sqref="G20"/>
    </sheetView>
  </sheetViews>
  <sheetFormatPr baseColWidth="12" defaultColWidth="14.1640625" defaultRowHeight="18" x14ac:dyDescent="0"/>
  <cols>
    <col min="1" max="1" width="14.1640625" customWidth="1"/>
    <col min="2" max="2" width="13" customWidth="1"/>
    <col min="3" max="3" width="15.1640625" customWidth="1"/>
  </cols>
  <sheetData>
    <row r="1" spans="1:16">
      <c r="A1" t="s">
        <v>0</v>
      </c>
      <c r="D1" s="65" t="s">
        <v>65</v>
      </c>
    </row>
    <row r="3" spans="1:16">
      <c r="A3" t="s">
        <v>1</v>
      </c>
    </row>
    <row r="4" spans="1:16">
      <c r="C4" s="2" t="s">
        <v>63</v>
      </c>
      <c r="D4" s="67">
        <v>135</v>
      </c>
      <c r="E4" s="2" t="s">
        <v>49</v>
      </c>
      <c r="G4" s="2"/>
      <c r="H4" s="2" t="s">
        <v>60</v>
      </c>
      <c r="I4" s="2" t="s">
        <v>62</v>
      </c>
    </row>
    <row r="5" spans="1:16">
      <c r="C5" s="2" t="s">
        <v>51</v>
      </c>
      <c r="D5" s="67">
        <v>150</v>
      </c>
      <c r="E5" s="2" t="s">
        <v>64</v>
      </c>
      <c r="G5" s="2" t="s">
        <v>59</v>
      </c>
      <c r="H5" s="67">
        <v>150</v>
      </c>
      <c r="I5" s="62">
        <f>透過!H7</f>
        <v>1.7621943051591431E-3</v>
      </c>
    </row>
    <row r="6" spans="1:16">
      <c r="G6" s="2" t="s">
        <v>61</v>
      </c>
      <c r="H6" s="67">
        <v>1.5</v>
      </c>
      <c r="I6" s="62">
        <f>透過!H21</f>
        <v>2.917053767750713E-3</v>
      </c>
    </row>
    <row r="11" spans="1:16"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6"/>
      <c r="N11" s="6"/>
    </row>
    <row r="12" spans="1:16">
      <c r="B12" t="s">
        <v>44</v>
      </c>
      <c r="C12" s="63">
        <f>利用線錐空気カーマ!B7</f>
        <v>134.90606666666662</v>
      </c>
      <c r="D12" s="64">
        <f>I5*I6</f>
        <v>5.1404155373733279E-6</v>
      </c>
      <c r="E12" s="64">
        <f>C14</f>
        <v>480000</v>
      </c>
      <c r="F12" s="7">
        <v>1.4330000000000001</v>
      </c>
      <c r="G12" s="7">
        <v>1</v>
      </c>
      <c r="H12" s="7">
        <v>1</v>
      </c>
      <c r="I12" s="7">
        <v>4.17</v>
      </c>
      <c r="J12" s="7">
        <v>0.6</v>
      </c>
      <c r="K12" s="64">
        <f>VLOOKUP(D5,散乱係数!A13:B31,2)/100</f>
        <v>3.3024500000000002E-3</v>
      </c>
      <c r="L12" s="7">
        <v>800</v>
      </c>
      <c r="M12" s="6"/>
      <c r="N12" s="6"/>
    </row>
    <row r="13" spans="1:16">
      <c r="L13">
        <f>0.5*320</f>
        <v>160</v>
      </c>
    </row>
    <row r="14" spans="1:16">
      <c r="B14" s="2" t="s">
        <v>17</v>
      </c>
      <c r="C14" s="66">
        <f>F15*G15*H15*I15*J15</f>
        <v>480000</v>
      </c>
      <c r="D14" s="2" t="s">
        <v>57</v>
      </c>
      <c r="F14" t="s">
        <v>52</v>
      </c>
      <c r="G14" t="s">
        <v>53</v>
      </c>
      <c r="H14" t="s">
        <v>54</v>
      </c>
      <c r="I14" t="s">
        <v>56</v>
      </c>
      <c r="J14" t="s">
        <v>55</v>
      </c>
    </row>
    <row r="15" spans="1:16">
      <c r="F15">
        <v>400</v>
      </c>
      <c r="G15">
        <v>0.5</v>
      </c>
      <c r="H15">
        <v>10</v>
      </c>
      <c r="I15">
        <v>40</v>
      </c>
      <c r="J15">
        <v>6</v>
      </c>
    </row>
    <row r="16" spans="1:16">
      <c r="P16" s="8"/>
    </row>
    <row r="17" spans="2:4">
      <c r="B17" s="2" t="s">
        <v>48</v>
      </c>
      <c r="C17" s="9">
        <f>C12*D12*E12*F12*G12*H12/I12/I12/J12/J12*K12*L12/400</f>
        <v>0.50327895622937613</v>
      </c>
      <c r="D17" s="2" t="s">
        <v>58</v>
      </c>
    </row>
  </sheetData>
  <phoneticPr fontId="2"/>
  <pageMargins left="0.7" right="0.7" top="0.75" bottom="0.75" header="0.3" footer="0.3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2"/>
  <sheetViews>
    <sheetView workbookViewId="0">
      <selection activeCell="F28" sqref="F28:H28"/>
    </sheetView>
  </sheetViews>
  <sheetFormatPr baseColWidth="12" defaultColWidth="8.83203125" defaultRowHeight="18" x14ac:dyDescent="0"/>
  <cols>
    <col min="2" max="2" width="6.6640625" customWidth="1"/>
    <col min="18" max="18" width="9.1640625" bestFit="1" customWidth="1"/>
    <col min="19" max="19" width="10.6640625" customWidth="1"/>
  </cols>
  <sheetData>
    <row r="1" spans="2:20">
      <c r="B1" s="12" t="s">
        <v>26</v>
      </c>
    </row>
    <row r="2" spans="2:20">
      <c r="B2" t="s">
        <v>27</v>
      </c>
      <c r="C2" t="s">
        <v>28</v>
      </c>
    </row>
    <row r="3" spans="2:20" ht="19" thickBot="1"/>
    <row r="4" spans="2:20">
      <c r="B4" s="13" t="s">
        <v>29</v>
      </c>
      <c r="C4" s="14"/>
      <c r="D4" s="15" t="s">
        <v>30</v>
      </c>
      <c r="E4" s="14"/>
      <c r="F4" s="16"/>
      <c r="G4" s="14" t="s">
        <v>31</v>
      </c>
      <c r="H4" s="17"/>
      <c r="I4" s="14"/>
      <c r="J4" s="14" t="s">
        <v>32</v>
      </c>
      <c r="K4" s="14"/>
      <c r="L4" s="16"/>
      <c r="M4" s="15" t="s">
        <v>33</v>
      </c>
      <c r="N4" s="17"/>
      <c r="O4" s="14"/>
      <c r="P4" s="15" t="s">
        <v>34</v>
      </c>
      <c r="Q4" s="14"/>
      <c r="R4" s="16"/>
      <c r="S4" s="15" t="s">
        <v>35</v>
      </c>
      <c r="T4" s="17"/>
    </row>
    <row r="5" spans="2:20" ht="19" thickBot="1">
      <c r="B5" s="18" t="s">
        <v>36</v>
      </c>
      <c r="C5" s="19" t="s">
        <v>37</v>
      </c>
      <c r="D5" s="20" t="s">
        <v>38</v>
      </c>
      <c r="E5" s="19" t="s">
        <v>39</v>
      </c>
      <c r="F5" s="21" t="s">
        <v>37</v>
      </c>
      <c r="G5" s="20" t="s">
        <v>38</v>
      </c>
      <c r="H5" s="22" t="s">
        <v>39</v>
      </c>
      <c r="I5" s="19" t="s">
        <v>37</v>
      </c>
      <c r="J5" s="20" t="s">
        <v>38</v>
      </c>
      <c r="K5" s="19" t="s">
        <v>39</v>
      </c>
      <c r="L5" s="21" t="s">
        <v>37</v>
      </c>
      <c r="M5" s="20" t="s">
        <v>38</v>
      </c>
      <c r="N5" s="22" t="s">
        <v>39</v>
      </c>
      <c r="O5" s="19" t="s">
        <v>37</v>
      </c>
      <c r="P5" s="20" t="s">
        <v>38</v>
      </c>
      <c r="Q5" s="19" t="s">
        <v>39</v>
      </c>
      <c r="R5" s="21" t="s">
        <v>37</v>
      </c>
      <c r="S5" s="20" t="s">
        <v>38</v>
      </c>
      <c r="T5" s="22" t="s">
        <v>39</v>
      </c>
    </row>
    <row r="6" spans="2:20">
      <c r="B6" s="23">
        <v>25</v>
      </c>
      <c r="C6" s="24">
        <v>49.52</v>
      </c>
      <c r="D6" s="25">
        <v>194</v>
      </c>
      <c r="E6" s="26">
        <v>0.30370000000000003</v>
      </c>
      <c r="F6" s="27">
        <v>0.39040000000000002</v>
      </c>
      <c r="G6" s="28">
        <v>1.645</v>
      </c>
      <c r="H6" s="29">
        <v>0.2757</v>
      </c>
      <c r="I6" s="30">
        <v>0.15759999999999999</v>
      </c>
      <c r="J6" s="31">
        <v>0.71750000000000003</v>
      </c>
      <c r="K6" s="26">
        <v>0.30480000000000002</v>
      </c>
      <c r="L6" s="32">
        <v>9.3640000000000008</v>
      </c>
      <c r="M6" s="25">
        <v>41.25</v>
      </c>
      <c r="N6" s="33">
        <v>0.32019999999999998</v>
      </c>
      <c r="O6" s="30">
        <v>0.38040000000000002</v>
      </c>
      <c r="P6" s="31">
        <v>1.5429999999999999</v>
      </c>
      <c r="Q6" s="26">
        <v>0.28689999999999999</v>
      </c>
      <c r="R6" s="34">
        <v>2.23E-2</v>
      </c>
      <c r="S6" s="35">
        <v>4.3400000000000001E-2</v>
      </c>
      <c r="T6" s="29">
        <v>0.19370000000000001</v>
      </c>
    </row>
    <row r="7" spans="2:20">
      <c r="B7" s="36">
        <v>30</v>
      </c>
      <c r="C7" s="37">
        <v>38.799999999999997</v>
      </c>
      <c r="D7" s="38">
        <v>178</v>
      </c>
      <c r="E7" s="39">
        <v>0.3473</v>
      </c>
      <c r="F7" s="40">
        <v>0.31730000000000003</v>
      </c>
      <c r="G7" s="41">
        <v>1.698</v>
      </c>
      <c r="H7" s="42">
        <v>0.35930000000000001</v>
      </c>
      <c r="I7" s="43">
        <v>0.1208</v>
      </c>
      <c r="J7" s="44">
        <v>0.70430000000000004</v>
      </c>
      <c r="K7" s="39">
        <v>0.36130000000000001</v>
      </c>
      <c r="L7" s="45">
        <v>7.4059999999999997</v>
      </c>
      <c r="M7" s="38">
        <v>41.93</v>
      </c>
      <c r="N7" s="46">
        <v>0.39589999999999997</v>
      </c>
      <c r="O7" s="43">
        <v>0.30609999999999998</v>
      </c>
      <c r="P7" s="44">
        <v>1.599</v>
      </c>
      <c r="Q7" s="39">
        <v>0.36930000000000002</v>
      </c>
      <c r="R7" s="47">
        <v>2.1659999999999999E-2</v>
      </c>
      <c r="S7" s="48">
        <v>3.9660000000000001E-2</v>
      </c>
      <c r="T7" s="42">
        <v>0.2843</v>
      </c>
    </row>
    <row r="8" spans="2:20">
      <c r="B8" s="36">
        <v>35</v>
      </c>
      <c r="C8" s="37">
        <v>29.55</v>
      </c>
      <c r="D8" s="38">
        <v>164.7</v>
      </c>
      <c r="E8" s="39">
        <v>0.39479999999999998</v>
      </c>
      <c r="F8" s="40">
        <v>0.25280000000000002</v>
      </c>
      <c r="G8" s="41">
        <v>1.8069999999999999</v>
      </c>
      <c r="H8" s="42">
        <v>0.46479999999999999</v>
      </c>
      <c r="I8" s="43">
        <v>8.8779999999999998E-2</v>
      </c>
      <c r="J8" s="44">
        <v>0.69879999999999998</v>
      </c>
      <c r="K8" s="39">
        <v>0.42449999999999999</v>
      </c>
      <c r="L8" s="45">
        <v>5.7160000000000002</v>
      </c>
      <c r="M8" s="38">
        <v>43.41</v>
      </c>
      <c r="N8" s="46">
        <v>0.48570000000000002</v>
      </c>
      <c r="O8" s="43">
        <v>0.23960000000000001</v>
      </c>
      <c r="P8" s="44">
        <v>1.694</v>
      </c>
      <c r="Q8" s="39">
        <v>0.46829999999999999</v>
      </c>
      <c r="R8" s="47">
        <v>1.9009999999999999E-2</v>
      </c>
      <c r="S8" s="48">
        <v>3.8730000000000001E-2</v>
      </c>
      <c r="T8" s="42">
        <v>0.37319999999999998</v>
      </c>
    </row>
    <row r="9" spans="2:20">
      <c r="B9" s="36">
        <v>40</v>
      </c>
      <c r="C9" s="37"/>
      <c r="D9" s="38"/>
      <c r="E9" s="39"/>
      <c r="F9" s="40">
        <v>0.12970000000000001</v>
      </c>
      <c r="G9" s="41">
        <v>0.17799999999999999</v>
      </c>
      <c r="H9" s="42">
        <v>0.21890000000000001</v>
      </c>
      <c r="I9" s="43"/>
      <c r="J9" s="44"/>
      <c r="K9" s="39"/>
      <c r="L9" s="45" t="s">
        <v>40</v>
      </c>
      <c r="M9" s="38"/>
      <c r="N9" s="46"/>
      <c r="O9" s="43"/>
      <c r="P9" s="44"/>
      <c r="Q9" s="39"/>
      <c r="R9" s="47"/>
      <c r="S9" s="48"/>
      <c r="T9" s="42"/>
    </row>
    <row r="10" spans="2:20">
      <c r="B10" s="36">
        <v>45</v>
      </c>
      <c r="C10" s="37"/>
      <c r="D10" s="38"/>
      <c r="E10" s="39"/>
      <c r="F10" s="40">
        <v>0.1095</v>
      </c>
      <c r="G10" s="41">
        <v>0.1741</v>
      </c>
      <c r="H10" s="42">
        <v>0.22689999999999999</v>
      </c>
      <c r="I10" s="43"/>
      <c r="J10" s="44"/>
      <c r="K10" s="39"/>
      <c r="L10" s="45" t="s">
        <v>40</v>
      </c>
      <c r="M10" s="38"/>
      <c r="N10" s="46"/>
      <c r="O10" s="43"/>
      <c r="P10" s="44"/>
      <c r="Q10" s="39"/>
      <c r="R10" s="47"/>
      <c r="S10" s="48"/>
      <c r="T10" s="42"/>
    </row>
    <row r="11" spans="2:20">
      <c r="B11" s="36">
        <v>50</v>
      </c>
      <c r="C11" s="37">
        <v>8.8010000000000002</v>
      </c>
      <c r="D11" s="38">
        <v>27.28</v>
      </c>
      <c r="E11" s="39">
        <v>0.29570000000000002</v>
      </c>
      <c r="F11" s="40">
        <v>9.0319999999999998E-2</v>
      </c>
      <c r="G11" s="41">
        <v>0.17119999999999999</v>
      </c>
      <c r="H11" s="42">
        <v>0.2324</v>
      </c>
      <c r="I11" s="43">
        <v>3.8830000000000003E-2</v>
      </c>
      <c r="J11" s="44">
        <v>8.7300000000000003E-2</v>
      </c>
      <c r="K11" s="39">
        <v>0.51049999999999995</v>
      </c>
      <c r="L11" s="45">
        <v>1.8169999999999999</v>
      </c>
      <c r="M11" s="38">
        <v>4.84</v>
      </c>
      <c r="N11" s="46">
        <v>0.40210000000000001</v>
      </c>
      <c r="O11" s="43">
        <v>9.7210000000000005E-2</v>
      </c>
      <c r="P11" s="44">
        <v>0.1799</v>
      </c>
      <c r="Q11" s="39">
        <v>0.49120000000000003</v>
      </c>
      <c r="R11" s="47">
        <v>1.076E-2</v>
      </c>
      <c r="S11" s="48">
        <v>1.8619999999999999E-3</v>
      </c>
      <c r="T11" s="42">
        <v>1.17</v>
      </c>
    </row>
    <row r="12" spans="2:20">
      <c r="B12" s="36">
        <v>55</v>
      </c>
      <c r="C12" s="37">
        <v>7.8390000000000004</v>
      </c>
      <c r="D12" s="38">
        <v>25.92</v>
      </c>
      <c r="E12" s="39">
        <v>0.34989999999999999</v>
      </c>
      <c r="F12" s="40">
        <v>7.4219999999999994E-2</v>
      </c>
      <c r="G12" s="41">
        <v>0.16969999999999999</v>
      </c>
      <c r="H12" s="42">
        <v>0.24540000000000001</v>
      </c>
      <c r="I12" s="43">
        <v>3.4189999999999998E-2</v>
      </c>
      <c r="J12" s="44">
        <v>8.3150000000000002E-2</v>
      </c>
      <c r="K12" s="39">
        <v>0.56059999999999999</v>
      </c>
      <c r="L12" s="45">
        <v>1.4930000000000001</v>
      </c>
      <c r="M12" s="38">
        <v>4.5149999999999997</v>
      </c>
      <c r="N12" s="46">
        <v>0.42930000000000001</v>
      </c>
      <c r="O12" s="43">
        <v>8.5519999999999999E-2</v>
      </c>
      <c r="P12" s="44">
        <v>0.1661</v>
      </c>
      <c r="Q12" s="39">
        <v>0.51119999999999999</v>
      </c>
      <c r="R12" s="47">
        <v>1.0120000000000001E-2</v>
      </c>
      <c r="S12" s="48">
        <v>1.4040000000000001E-3</v>
      </c>
      <c r="T12" s="42">
        <v>1.2689999999999999</v>
      </c>
    </row>
    <row r="13" spans="2:20">
      <c r="B13" s="36">
        <v>60</v>
      </c>
      <c r="C13" s="37">
        <v>6.9509999999999996</v>
      </c>
      <c r="D13" s="38">
        <v>24.89</v>
      </c>
      <c r="E13" s="39">
        <v>0.41980000000000001</v>
      </c>
      <c r="F13" s="40">
        <v>6.2509999999999996E-2</v>
      </c>
      <c r="G13" s="41">
        <v>0.16919999999999999</v>
      </c>
      <c r="H13" s="42">
        <v>0.27329999999999999</v>
      </c>
      <c r="I13" s="43">
        <v>2.9850000000000002E-2</v>
      </c>
      <c r="J13" s="44">
        <v>7.961E-2</v>
      </c>
      <c r="K13" s="39">
        <v>0.6169</v>
      </c>
      <c r="L13" s="45">
        <v>1.1830000000000001</v>
      </c>
      <c r="M13" s="38">
        <v>4.2190000000000003</v>
      </c>
      <c r="N13" s="46">
        <v>0.45710000000000001</v>
      </c>
      <c r="O13" s="43">
        <v>7.4520000000000003E-2</v>
      </c>
      <c r="P13" s="44">
        <v>0.15390000000000001</v>
      </c>
      <c r="Q13" s="39">
        <v>0.53039999999999998</v>
      </c>
      <c r="R13" s="47">
        <v>9.5119999999999996E-3</v>
      </c>
      <c r="S13" s="48">
        <v>9.6719999999999998E-4</v>
      </c>
      <c r="T13" s="42">
        <v>1.333</v>
      </c>
    </row>
    <row r="14" spans="2:20">
      <c r="B14" s="36">
        <v>65</v>
      </c>
      <c r="C14" s="37">
        <v>6.13</v>
      </c>
      <c r="D14" s="38">
        <v>24.09</v>
      </c>
      <c r="E14" s="39">
        <v>0.50190000000000001</v>
      </c>
      <c r="F14" s="40">
        <v>5.5280000000000003E-2</v>
      </c>
      <c r="G14" s="41">
        <v>0.1696</v>
      </c>
      <c r="H14" s="42">
        <v>0.32169999999999999</v>
      </c>
      <c r="I14" s="43">
        <v>2.6089999999999999E-2</v>
      </c>
      <c r="J14" s="44">
        <v>7.5969999999999996E-2</v>
      </c>
      <c r="K14" s="39">
        <v>0.67559999999999998</v>
      </c>
      <c r="L14" s="45">
        <v>0.91720000000000002</v>
      </c>
      <c r="M14" s="38">
        <v>3.9820000000000002</v>
      </c>
      <c r="N14" s="46">
        <v>0.49220000000000003</v>
      </c>
      <c r="O14" s="43">
        <v>6.5140000000000003E-2</v>
      </c>
      <c r="P14" s="44">
        <v>0.14430000000000001</v>
      </c>
      <c r="Q14" s="39">
        <v>0.55820000000000003</v>
      </c>
      <c r="R14" s="47">
        <v>8.9899999999999997E-3</v>
      </c>
      <c r="S14" s="48">
        <v>6.4700000000000001E-4</v>
      </c>
      <c r="T14" s="42">
        <v>1.353</v>
      </c>
    </row>
    <row r="15" spans="2:20">
      <c r="B15" s="36">
        <v>70</v>
      </c>
      <c r="C15" s="37">
        <v>5.3689999999999998</v>
      </c>
      <c r="D15" s="38">
        <v>23.49</v>
      </c>
      <c r="E15" s="39">
        <v>0.58809999999999996</v>
      </c>
      <c r="F15" s="40">
        <v>5.0869999999999999E-2</v>
      </c>
      <c r="G15" s="41">
        <v>0.1696</v>
      </c>
      <c r="H15" s="42">
        <v>0.38469999999999999</v>
      </c>
      <c r="I15" s="43">
        <v>2.3019999999999999E-2</v>
      </c>
      <c r="J15" s="44">
        <v>7.1629999999999999E-2</v>
      </c>
      <c r="K15" s="39">
        <v>0.72989999999999999</v>
      </c>
      <c r="L15" s="45">
        <v>0.71489999999999998</v>
      </c>
      <c r="M15" s="38">
        <v>3.798</v>
      </c>
      <c r="N15" s="46">
        <v>0.53779999999999994</v>
      </c>
      <c r="O15" s="43">
        <v>5.7910000000000003E-2</v>
      </c>
      <c r="P15" s="44">
        <v>0.13569999999999999</v>
      </c>
      <c r="Q15" s="39">
        <v>0.59670000000000001</v>
      </c>
      <c r="R15" s="47">
        <v>8.5500000000000003E-3</v>
      </c>
      <c r="S15" s="48">
        <v>5.3899999999999998E-4</v>
      </c>
      <c r="T15" s="42">
        <v>1.194</v>
      </c>
    </row>
    <row r="16" spans="2:20">
      <c r="B16" s="36">
        <v>75</v>
      </c>
      <c r="C16" s="37">
        <v>4.6660000000000004</v>
      </c>
      <c r="D16" s="38">
        <v>22.69</v>
      </c>
      <c r="E16" s="39">
        <v>0.66180000000000005</v>
      </c>
      <c r="F16" s="40">
        <v>4.7969999999999999E-2</v>
      </c>
      <c r="G16" s="41">
        <v>0.1663</v>
      </c>
      <c r="H16" s="42">
        <v>0.44919999999999999</v>
      </c>
      <c r="I16" s="43">
        <v>2.0660000000000001E-2</v>
      </c>
      <c r="J16" s="44">
        <v>6.6489999999999994E-2</v>
      </c>
      <c r="K16" s="39">
        <v>0.77500000000000002</v>
      </c>
      <c r="L16" s="45">
        <v>0.57930000000000004</v>
      </c>
      <c r="M16" s="38">
        <v>3.629</v>
      </c>
      <c r="N16" s="46">
        <v>0.59079999999999999</v>
      </c>
      <c r="O16" s="43">
        <v>5.2909999999999999E-2</v>
      </c>
      <c r="P16" s="44">
        <v>0.128</v>
      </c>
      <c r="Q16" s="39">
        <v>0.64780000000000004</v>
      </c>
      <c r="R16" s="47">
        <v>8.2030000000000002E-3</v>
      </c>
      <c r="S16" s="48">
        <v>6.4210000000000005E-4</v>
      </c>
      <c r="T16" s="42">
        <v>1.0620000000000001</v>
      </c>
    </row>
    <row r="17" spans="2:20">
      <c r="B17" s="36">
        <v>80</v>
      </c>
      <c r="C17" s="37">
        <v>4.04</v>
      </c>
      <c r="D17" s="38">
        <v>21.69</v>
      </c>
      <c r="E17" s="39">
        <v>0.71870000000000001</v>
      </c>
      <c r="F17" s="40">
        <v>4.5830000000000003E-2</v>
      </c>
      <c r="G17" s="41">
        <v>0.15490000000000001</v>
      </c>
      <c r="H17" s="42">
        <v>0.49259999999999998</v>
      </c>
      <c r="I17" s="43">
        <v>1.8859999999999998E-2</v>
      </c>
      <c r="J17" s="44">
        <v>6.0929999999999998E-2</v>
      </c>
      <c r="K17" s="39">
        <v>0.81030000000000002</v>
      </c>
      <c r="L17" s="45">
        <v>0.49209999999999998</v>
      </c>
      <c r="M17" s="38">
        <v>3.4279999999999999</v>
      </c>
      <c r="N17" s="46">
        <v>0.64270000000000005</v>
      </c>
      <c r="O17" s="43">
        <v>4.9549999999999997E-2</v>
      </c>
      <c r="P17" s="44">
        <v>0.1208</v>
      </c>
      <c r="Q17" s="39">
        <v>0.7097</v>
      </c>
      <c r="R17" s="47">
        <v>7.9030000000000003E-3</v>
      </c>
      <c r="S17" s="48">
        <v>8.6399999999999997E-4</v>
      </c>
      <c r="T17" s="42">
        <v>0.97030000000000005</v>
      </c>
    </row>
    <row r="18" spans="2:20">
      <c r="B18" s="36">
        <v>85</v>
      </c>
      <c r="C18" s="37">
        <v>3.504</v>
      </c>
      <c r="D18" s="38">
        <v>20.37</v>
      </c>
      <c r="E18" s="39">
        <v>0.755</v>
      </c>
      <c r="F18" s="40">
        <v>4.3979999999999998E-2</v>
      </c>
      <c r="G18" s="41">
        <v>0.1348</v>
      </c>
      <c r="H18" s="42">
        <v>0.49430000000000002</v>
      </c>
      <c r="I18" s="43">
        <v>1.746E-2</v>
      </c>
      <c r="J18" s="44">
        <v>5.5579999999999997E-2</v>
      </c>
      <c r="K18" s="39">
        <v>0.83919999999999995</v>
      </c>
      <c r="L18" s="45">
        <v>0.4355</v>
      </c>
      <c r="M18" s="38">
        <v>3.1779999999999999</v>
      </c>
      <c r="N18" s="46">
        <v>0.68610000000000004</v>
      </c>
      <c r="O18" s="43">
        <v>4.7210000000000002E-2</v>
      </c>
      <c r="P18" s="44">
        <v>0.114</v>
      </c>
      <c r="Q18" s="39">
        <v>0.77859999999999996</v>
      </c>
      <c r="R18" s="47">
        <v>7.6860000000000001E-3</v>
      </c>
      <c r="S18" s="48">
        <v>1.0560000000000001E-3</v>
      </c>
      <c r="T18" s="42">
        <v>1.0149999999999999</v>
      </c>
    </row>
    <row r="19" spans="2:20">
      <c r="B19" s="36">
        <v>90</v>
      </c>
      <c r="C19" s="37">
        <v>3.0670000000000002</v>
      </c>
      <c r="D19" s="38">
        <v>18.829999999999998</v>
      </c>
      <c r="E19" s="39">
        <v>0.77259999999999995</v>
      </c>
      <c r="F19" s="40">
        <v>4.2279999999999998E-2</v>
      </c>
      <c r="G19" s="41">
        <v>0.1137</v>
      </c>
      <c r="H19" s="42">
        <v>0.46899999999999997</v>
      </c>
      <c r="I19" s="43">
        <v>1.6330000000000001E-2</v>
      </c>
      <c r="J19" s="44">
        <v>5.0389999999999997E-2</v>
      </c>
      <c r="K19" s="39">
        <v>0.85850000000000004</v>
      </c>
      <c r="L19" s="45">
        <v>0.39710000000000001</v>
      </c>
      <c r="M19" s="38">
        <v>2.9129999999999998</v>
      </c>
      <c r="N19" s="46">
        <v>0.72040000000000004</v>
      </c>
      <c r="O19" s="43">
        <v>4.5499999999999999E-2</v>
      </c>
      <c r="P19" s="44">
        <v>0.1077</v>
      </c>
      <c r="Q19" s="39">
        <v>0.85219999999999996</v>
      </c>
      <c r="R19" s="47">
        <v>7.5110000000000003E-3</v>
      </c>
      <c r="S19" s="48">
        <v>1.1590000000000001E-3</v>
      </c>
      <c r="T19" s="42">
        <v>1.081</v>
      </c>
    </row>
    <row r="20" spans="2:20">
      <c r="B20" s="36">
        <v>95</v>
      </c>
      <c r="C20" s="37">
        <v>2.7309999999999999</v>
      </c>
      <c r="D20" s="38">
        <v>17.07</v>
      </c>
      <c r="E20" s="39">
        <v>0.77139999999999997</v>
      </c>
      <c r="F20" s="40">
        <v>4.0680000000000001E-2</v>
      </c>
      <c r="G20" s="41">
        <v>9.7049999999999997E-2</v>
      </c>
      <c r="H20" s="42">
        <v>0.44059999999999999</v>
      </c>
      <c r="I20" s="43">
        <v>1.5429999999999999E-2</v>
      </c>
      <c r="J20" s="44">
        <v>4.5710000000000001E-2</v>
      </c>
      <c r="K20" s="39">
        <v>0.87629999999999997</v>
      </c>
      <c r="L20" s="45">
        <v>0.36809999999999998</v>
      </c>
      <c r="M20" s="38">
        <v>2.6539999999999999</v>
      </c>
      <c r="N20" s="46">
        <v>0.74609999999999999</v>
      </c>
      <c r="O20" s="43">
        <v>4.41E-2</v>
      </c>
      <c r="P20" s="44">
        <v>0.1013</v>
      </c>
      <c r="Q20" s="39">
        <v>0.92220000000000002</v>
      </c>
      <c r="R20" s="47">
        <v>7.345E-3</v>
      </c>
      <c r="S20" s="48">
        <v>1.1329999999999999E-3</v>
      </c>
      <c r="T20" s="42">
        <v>1.1160000000000001</v>
      </c>
    </row>
    <row r="21" spans="2:20">
      <c r="B21" s="36">
        <v>100</v>
      </c>
      <c r="C21" s="37">
        <v>2.5</v>
      </c>
      <c r="D21" s="38">
        <v>15.28</v>
      </c>
      <c r="E21" s="39">
        <v>0.75570000000000004</v>
      </c>
      <c r="F21" s="40">
        <v>3.925E-2</v>
      </c>
      <c r="G21" s="41">
        <v>8.5669999999999996E-2</v>
      </c>
      <c r="H21" s="42">
        <v>0.42730000000000001</v>
      </c>
      <c r="I21" s="43">
        <v>1.4659999999999999E-2</v>
      </c>
      <c r="J21" s="44">
        <v>4.1709999999999997E-2</v>
      </c>
      <c r="K21" s="39">
        <v>0.89390000000000003</v>
      </c>
      <c r="L21" s="45">
        <v>0.34150000000000003</v>
      </c>
      <c r="M21" s="38">
        <v>2.42</v>
      </c>
      <c r="N21" s="46">
        <v>0.76449999999999996</v>
      </c>
      <c r="O21" s="43">
        <v>4.2779999999999999E-2</v>
      </c>
      <c r="P21" s="44">
        <v>9.4659999999999994E-2</v>
      </c>
      <c r="Q21" s="39">
        <v>0.97909999999999997</v>
      </c>
      <c r="R21" s="47">
        <v>7.2300000000000003E-3</v>
      </c>
      <c r="S21" s="48">
        <v>9.343E-4</v>
      </c>
      <c r="T21" s="42">
        <v>1.3089999999999999</v>
      </c>
    </row>
    <row r="22" spans="2:20">
      <c r="B22" s="36">
        <v>105</v>
      </c>
      <c r="C22" s="37">
        <v>2.3639999999999999</v>
      </c>
      <c r="D22" s="38">
        <v>13.41</v>
      </c>
      <c r="E22" s="39">
        <v>0.72389999999999999</v>
      </c>
      <c r="F22" s="40">
        <v>3.8080000000000003E-2</v>
      </c>
      <c r="G22" s="41">
        <v>7.8619999999999995E-2</v>
      </c>
      <c r="H22" s="42">
        <v>0.43940000000000001</v>
      </c>
      <c r="I22" s="43">
        <v>1.397E-2</v>
      </c>
      <c r="J22" s="44">
        <v>3.8150000000000003E-2</v>
      </c>
      <c r="K22" s="39">
        <v>0.90800000000000003</v>
      </c>
      <c r="L22" s="45">
        <v>0.3135</v>
      </c>
      <c r="M22" s="38">
        <v>2.2269999999999999</v>
      </c>
      <c r="N22" s="46">
        <v>0.77880000000000005</v>
      </c>
      <c r="O22" s="43">
        <v>4.1430000000000002E-2</v>
      </c>
      <c r="P22" s="44">
        <v>8.7510000000000004E-2</v>
      </c>
      <c r="Q22" s="39">
        <v>1.014</v>
      </c>
      <c r="R22" s="47">
        <v>7.0499999999999998E-3</v>
      </c>
      <c r="S22" s="48">
        <v>6.1990000000000005E-4</v>
      </c>
      <c r="T22" s="42">
        <v>1.365</v>
      </c>
    </row>
    <row r="23" spans="2:20">
      <c r="B23" s="36">
        <v>110</v>
      </c>
      <c r="C23" s="37">
        <v>2.2959999999999998</v>
      </c>
      <c r="D23" s="38">
        <v>11.7</v>
      </c>
      <c r="E23" s="39">
        <v>0.68269999999999997</v>
      </c>
      <c r="F23" s="40">
        <v>3.7150000000000002E-2</v>
      </c>
      <c r="G23" s="41">
        <v>7.4359999999999996E-2</v>
      </c>
      <c r="H23" s="42">
        <v>0.47520000000000001</v>
      </c>
      <c r="I23" s="43">
        <v>1.336E-2</v>
      </c>
      <c r="J23" s="44">
        <v>3.5209999999999998E-2</v>
      </c>
      <c r="K23" s="39">
        <v>0.9244</v>
      </c>
      <c r="L23" s="45">
        <v>0.28489999999999999</v>
      </c>
      <c r="M23" s="38">
        <v>2.0609999999999999</v>
      </c>
      <c r="N23" s="46">
        <v>0.78969999999999996</v>
      </c>
      <c r="O23" s="43">
        <v>4.0079999999999998E-2</v>
      </c>
      <c r="P23" s="44">
        <v>8.047E-2</v>
      </c>
      <c r="Q23" s="39">
        <v>1.03</v>
      </c>
      <c r="R23" s="47">
        <v>6.9210000000000001E-3</v>
      </c>
      <c r="S23" s="48">
        <v>1.9760000000000001E-4</v>
      </c>
      <c r="T23" s="42">
        <v>3.3090000000000002</v>
      </c>
    </row>
    <row r="24" spans="2:20">
      <c r="B24" s="36">
        <v>115</v>
      </c>
      <c r="C24" s="37">
        <v>2.2650000000000001</v>
      </c>
      <c r="D24" s="38">
        <v>10.210000000000001</v>
      </c>
      <c r="E24" s="39">
        <v>0.63629999999999998</v>
      </c>
      <c r="F24" s="40">
        <v>3.6360000000000003E-2</v>
      </c>
      <c r="G24" s="41">
        <v>7.2010000000000005E-2</v>
      </c>
      <c r="H24" s="42">
        <v>0.53190000000000004</v>
      </c>
      <c r="I24" s="43">
        <v>1.2829999999999999E-2</v>
      </c>
      <c r="J24" s="44">
        <v>3.2710000000000003E-2</v>
      </c>
      <c r="K24" s="39">
        <v>0.94230000000000003</v>
      </c>
      <c r="L24" s="45">
        <v>0.25790000000000002</v>
      </c>
      <c r="M24" s="38">
        <v>1.9219999999999999</v>
      </c>
      <c r="N24" s="46">
        <v>0.80079999999999996</v>
      </c>
      <c r="O24" s="43">
        <v>3.8780000000000002E-2</v>
      </c>
      <c r="P24" s="44">
        <v>7.3940000000000006E-2</v>
      </c>
      <c r="Q24" s="39">
        <v>1.0329999999999999</v>
      </c>
      <c r="R24" s="47">
        <v>6.8640000000000003E-3</v>
      </c>
      <c r="S24" s="48">
        <v>-3.9080000000000001E-4</v>
      </c>
      <c r="T24" s="42">
        <v>0.64690000000000003</v>
      </c>
    </row>
    <row r="25" spans="2:20">
      <c r="B25" s="36">
        <v>120</v>
      </c>
      <c r="C25" s="37">
        <v>2.246</v>
      </c>
      <c r="D25" s="38">
        <v>8.9499999999999993</v>
      </c>
      <c r="E25" s="39">
        <v>0.58730000000000004</v>
      </c>
      <c r="F25" s="40">
        <v>3.5659999999999997E-2</v>
      </c>
      <c r="G25" s="41">
        <v>7.109E-2</v>
      </c>
      <c r="H25" s="42">
        <v>0.60729999999999995</v>
      </c>
      <c r="I25" s="43">
        <v>1.235E-2</v>
      </c>
      <c r="J25" s="44">
        <v>3.0470000000000001E-2</v>
      </c>
      <c r="K25" s="39">
        <v>0.95660000000000001</v>
      </c>
      <c r="L25" s="45">
        <v>0.2336</v>
      </c>
      <c r="M25" s="38">
        <v>1.7969999999999999</v>
      </c>
      <c r="N25" s="46">
        <v>0.81159999999999999</v>
      </c>
      <c r="O25" s="43">
        <v>3.7580000000000002E-2</v>
      </c>
      <c r="P25" s="44">
        <v>6.8080000000000002E-2</v>
      </c>
      <c r="Q25" s="39">
        <v>1.0309999999999999</v>
      </c>
      <c r="R25" s="47">
        <v>6.7260000000000002E-3</v>
      </c>
      <c r="S25" s="48">
        <v>-8.3080000000000003E-4</v>
      </c>
      <c r="T25" s="42">
        <v>1.006</v>
      </c>
    </row>
    <row r="26" spans="2:20">
      <c r="B26" s="36">
        <v>125</v>
      </c>
      <c r="C26" s="37">
        <v>2.2189999999999999</v>
      </c>
      <c r="D26" s="38">
        <v>7.923</v>
      </c>
      <c r="E26" s="39">
        <v>0.53859999999999997</v>
      </c>
      <c r="F26" s="40">
        <v>3.5020000000000003E-2</v>
      </c>
      <c r="G26" s="41">
        <v>7.1129999999999999E-2</v>
      </c>
      <c r="H26" s="42">
        <v>0.69740000000000002</v>
      </c>
      <c r="I26" s="43">
        <v>1.192E-2</v>
      </c>
      <c r="J26" s="44">
        <v>2.8629999999999999E-2</v>
      </c>
      <c r="K26" s="39">
        <v>0.96840000000000004</v>
      </c>
      <c r="L26" s="45">
        <v>0.21299999999999999</v>
      </c>
      <c r="M26" s="38">
        <v>1.677</v>
      </c>
      <c r="N26" s="46">
        <v>0.82169999999999999</v>
      </c>
      <c r="O26" s="43">
        <v>3.6519999999999997E-2</v>
      </c>
      <c r="P26" s="44">
        <v>6.3039999999999999E-2</v>
      </c>
      <c r="Q26" s="39">
        <v>1.0309999999999999</v>
      </c>
      <c r="R26" s="47">
        <v>6.5839999999999996E-3</v>
      </c>
      <c r="S26" s="48">
        <v>-1.214E-3</v>
      </c>
      <c r="T26" s="42">
        <v>1.1919999999999999</v>
      </c>
    </row>
    <row r="27" spans="2:20">
      <c r="B27" s="36">
        <v>130</v>
      </c>
      <c r="C27" s="37">
        <v>2.17</v>
      </c>
      <c r="D27" s="38">
        <v>7.0940000000000003</v>
      </c>
      <c r="E27" s="39">
        <v>0.4909</v>
      </c>
      <c r="F27" s="40">
        <v>3.4450000000000001E-2</v>
      </c>
      <c r="G27" s="41">
        <v>7.1599999999999997E-2</v>
      </c>
      <c r="H27" s="42">
        <v>0.79690000000000005</v>
      </c>
      <c r="I27" s="43">
        <v>1.155E-2</v>
      </c>
      <c r="J27" s="44">
        <v>2.7019999999999999E-2</v>
      </c>
      <c r="K27" s="39">
        <v>0.98019999999999996</v>
      </c>
      <c r="L27" s="45">
        <v>0.19689999999999999</v>
      </c>
      <c r="M27" s="38">
        <v>1.5569999999999999</v>
      </c>
      <c r="N27" s="46">
        <v>0.83089999999999997</v>
      </c>
      <c r="O27" s="43">
        <v>3.5610000000000003E-2</v>
      </c>
      <c r="P27" s="44">
        <v>5.8740000000000001E-2</v>
      </c>
      <c r="Q27" s="39">
        <v>1.0369999999999999</v>
      </c>
      <c r="R27" s="47">
        <v>6.4720000000000003E-3</v>
      </c>
      <c r="S27" s="48">
        <v>-1.539E-3</v>
      </c>
      <c r="T27" s="42">
        <v>1.2849999999999999</v>
      </c>
    </row>
    <row r="28" spans="2:20">
      <c r="B28" s="36">
        <v>135</v>
      </c>
      <c r="C28" s="37">
        <v>2.1019999999999999</v>
      </c>
      <c r="D28" s="38">
        <v>6.45</v>
      </c>
      <c r="E28" s="39">
        <v>0.44690000000000002</v>
      </c>
      <c r="F28" s="40">
        <v>3.3939999999999998E-2</v>
      </c>
      <c r="G28" s="41">
        <v>7.263E-2</v>
      </c>
      <c r="H28" s="42">
        <v>0.90990000000000004</v>
      </c>
      <c r="I28" s="43">
        <v>1.1220000000000001E-2</v>
      </c>
      <c r="J28" s="44">
        <v>2.5610000000000001E-2</v>
      </c>
      <c r="K28" s="39">
        <v>0.99009999999999998</v>
      </c>
      <c r="L28" s="45">
        <v>0.18379999999999999</v>
      </c>
      <c r="M28" s="38">
        <v>1.44</v>
      </c>
      <c r="N28" s="46">
        <v>0.83909999999999996</v>
      </c>
      <c r="O28" s="43">
        <v>3.4810000000000001E-2</v>
      </c>
      <c r="P28" s="44">
        <v>5.5190000000000003E-2</v>
      </c>
      <c r="Q28" s="39">
        <v>1.0489999999999999</v>
      </c>
      <c r="R28" s="47">
        <v>6.306E-3</v>
      </c>
      <c r="S28" s="48">
        <v>-1.7309999999999999E-3</v>
      </c>
      <c r="T28" s="42">
        <v>1.4650000000000001</v>
      </c>
    </row>
    <row r="29" spans="2:20">
      <c r="B29" s="36">
        <v>140</v>
      </c>
      <c r="C29" s="37">
        <v>2.0089999999999999</v>
      </c>
      <c r="D29" s="38">
        <v>5.9160000000000004</v>
      </c>
      <c r="E29" s="39">
        <v>0.40179999999999999</v>
      </c>
      <c r="F29" s="40">
        <v>3.3450000000000001E-2</v>
      </c>
      <c r="G29" s="41">
        <v>7.4759999999999993E-2</v>
      </c>
      <c r="H29" s="42">
        <v>1.0469999999999999</v>
      </c>
      <c r="I29" s="43">
        <v>1.0880000000000001E-2</v>
      </c>
      <c r="J29" s="44">
        <v>2.436E-2</v>
      </c>
      <c r="K29" s="39">
        <v>0.99639999999999995</v>
      </c>
      <c r="L29" s="45">
        <v>0.1724</v>
      </c>
      <c r="M29" s="38">
        <v>1.3280000000000001</v>
      </c>
      <c r="N29" s="46">
        <v>0.8458</v>
      </c>
      <c r="O29" s="43">
        <v>3.4070000000000003E-2</v>
      </c>
      <c r="P29" s="44">
        <v>5.1450000000000003E-2</v>
      </c>
      <c r="Q29" s="39">
        <v>1.0569999999999999</v>
      </c>
      <c r="R29" s="47">
        <v>6.1910000000000003E-3</v>
      </c>
      <c r="S29" s="48">
        <v>-1.8489999999999999E-3</v>
      </c>
      <c r="T29" s="42">
        <v>1.53</v>
      </c>
    </row>
    <row r="30" spans="2:20">
      <c r="B30" s="36">
        <v>145</v>
      </c>
      <c r="C30" s="37">
        <v>1.895</v>
      </c>
      <c r="D30" s="38">
        <v>5.4980000000000002</v>
      </c>
      <c r="E30" s="39">
        <v>0.35799999999999998</v>
      </c>
      <c r="F30" s="40">
        <v>3.2960000000000003E-2</v>
      </c>
      <c r="G30" s="41">
        <v>7.8750000000000001E-2</v>
      </c>
      <c r="H30" s="42">
        <v>1.224</v>
      </c>
      <c r="I30" s="43">
        <v>1.056E-2</v>
      </c>
      <c r="J30" s="44">
        <v>2.3130000000000001E-2</v>
      </c>
      <c r="K30" s="39">
        <v>0.99870000000000003</v>
      </c>
      <c r="L30" s="45">
        <v>0.16159999999999999</v>
      </c>
      <c r="M30" s="38">
        <v>1.2250000000000001</v>
      </c>
      <c r="N30" s="46">
        <v>0.85189999999999999</v>
      </c>
      <c r="O30" s="43">
        <v>3.3360000000000001E-2</v>
      </c>
      <c r="P30" s="44">
        <v>4.795E-2</v>
      </c>
      <c r="Q30" s="39">
        <v>1.0629999999999999</v>
      </c>
      <c r="R30" s="47">
        <v>6.1149999999999998E-3</v>
      </c>
      <c r="S30" s="48">
        <v>-1.869E-3</v>
      </c>
      <c r="T30" s="42">
        <v>1.498</v>
      </c>
    </row>
    <row r="31" spans="2:20" ht="19" thickBot="1">
      <c r="B31" s="49">
        <v>150</v>
      </c>
      <c r="C31" s="50">
        <v>1.7569999999999999</v>
      </c>
      <c r="D31" s="51">
        <v>5.1769999999999996</v>
      </c>
      <c r="E31" s="52">
        <v>0.31559999999999999</v>
      </c>
      <c r="F31" s="53">
        <v>3.243E-2</v>
      </c>
      <c r="G31" s="54">
        <v>8.5989999999999997E-2</v>
      </c>
      <c r="H31" s="55">
        <v>1.4670000000000001</v>
      </c>
      <c r="I31" s="56">
        <v>1.03E-2</v>
      </c>
      <c r="J31" s="57">
        <v>2.198E-2</v>
      </c>
      <c r="K31" s="52">
        <v>1.0129999999999999</v>
      </c>
      <c r="L31" s="58">
        <v>0.15010000000000001</v>
      </c>
      <c r="M31" s="51">
        <v>1.1319999999999999</v>
      </c>
      <c r="N31" s="59">
        <v>0.85660000000000003</v>
      </c>
      <c r="O31" s="56">
        <v>3.2660000000000002E-2</v>
      </c>
      <c r="P31" s="57">
        <v>4.4909999999999999E-2</v>
      </c>
      <c r="Q31" s="52">
        <v>1.073</v>
      </c>
      <c r="R31" s="60">
        <v>6.0200000000000002E-3</v>
      </c>
      <c r="S31" s="61">
        <v>-1.7520000000000001E-3</v>
      </c>
      <c r="T31" s="55">
        <v>1.4830000000000001</v>
      </c>
    </row>
    <row r="32" spans="2:20">
      <c r="K32" t="s">
        <v>40</v>
      </c>
    </row>
  </sheetData>
  <phoneticPr fontId="2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7"/>
  <sheetViews>
    <sheetView workbookViewId="0">
      <selection activeCell="D18" sqref="D18"/>
    </sheetView>
  </sheetViews>
  <sheetFormatPr baseColWidth="12" defaultColWidth="14.1640625" defaultRowHeight="18" x14ac:dyDescent="0"/>
  <cols>
    <col min="1" max="1" width="14.1640625" customWidth="1"/>
    <col min="2" max="2" width="13" customWidth="1"/>
  </cols>
  <sheetData>
    <row r="2" spans="2:3">
      <c r="B2" t="s">
        <v>18</v>
      </c>
    </row>
    <row r="3" spans="2:3">
      <c r="B3" s="2" t="s">
        <v>19</v>
      </c>
    </row>
    <row r="4" spans="2:3">
      <c r="B4" s="2">
        <f>しゃへい計算!D4</f>
        <v>135</v>
      </c>
    </row>
    <row r="6" spans="2:3">
      <c r="B6" s="10">
        <f>1.222-0.05664*B4+0.00122*B4*B4-3.136*0.000001*B4*B4*B4</f>
        <v>8.094363999999997</v>
      </c>
      <c r="C6" t="s">
        <v>20</v>
      </c>
    </row>
    <row r="7" spans="2:3">
      <c r="B7" s="10">
        <f>B6*1000/60</f>
        <v>134.90606666666662</v>
      </c>
      <c r="C7" t="s">
        <v>21</v>
      </c>
    </row>
  </sheetData>
  <phoneticPr fontId="2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G22" sqref="G22"/>
    </sheetView>
  </sheetViews>
  <sheetFormatPr baseColWidth="12" defaultColWidth="14.1640625" defaultRowHeight="18" x14ac:dyDescent="0"/>
  <cols>
    <col min="1" max="1" width="14.1640625" customWidth="1"/>
    <col min="2" max="2" width="13" customWidth="1"/>
    <col min="3" max="3" width="15.1640625" customWidth="1"/>
  </cols>
  <sheetData>
    <row r="1" spans="1:8">
      <c r="A1" t="s">
        <v>0</v>
      </c>
    </row>
    <row r="3" spans="1:8">
      <c r="A3" t="s">
        <v>1</v>
      </c>
      <c r="C3">
        <f>しゃへい計算!D4</f>
        <v>135</v>
      </c>
      <c r="D3" t="s">
        <v>49</v>
      </c>
    </row>
    <row r="5" spans="1:8">
      <c r="C5" t="s">
        <v>42</v>
      </c>
    </row>
    <row r="6" spans="1:8"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41</v>
      </c>
    </row>
    <row r="7" spans="1:8">
      <c r="C7" s="2"/>
      <c r="D7" s="3">
        <f>VLOOKUP($C$3,フィッテング定数!$B$6:$H$31,5)</f>
        <v>3.3939999999999998E-2</v>
      </c>
      <c r="E7" s="3">
        <f>VLOOKUP($C$3,フィッテング定数!$B$6:$H$31,6)</f>
        <v>7.263E-2</v>
      </c>
      <c r="F7" s="3">
        <f>VLOOKUP($C$3,フィッテング定数!$B$6:$H$31,7)</f>
        <v>0.90990000000000004</v>
      </c>
      <c r="G7" s="3">
        <f>しゃへい計算!H5</f>
        <v>150</v>
      </c>
      <c r="H7" s="62">
        <f>C15</f>
        <v>1.7621943051591431E-3</v>
      </c>
    </row>
    <row r="10" spans="1:8">
      <c r="C10" t="s">
        <v>47</v>
      </c>
    </row>
    <row r="11" spans="1:8">
      <c r="C11" s="4">
        <f>1+$E7/$D7</f>
        <v>3.1399528579846789</v>
      </c>
    </row>
    <row r="12" spans="1:8">
      <c r="C12" s="4">
        <f>EXP($D7*$F7*G7)</f>
        <v>102.75021029079582</v>
      </c>
    </row>
    <row r="13" spans="1:8">
      <c r="C13" s="4">
        <f>C11*C12</f>
        <v>322.63081646111112</v>
      </c>
    </row>
    <row r="14" spans="1:8">
      <c r="C14" s="4">
        <f>C13-$E7/$D7</f>
        <v>320.49086360312646</v>
      </c>
    </row>
    <row r="15" spans="1:8">
      <c r="C15" s="11">
        <f>C14^(-1/$F7)</f>
        <v>1.7621943051591431E-3</v>
      </c>
    </row>
    <row r="19" spans="3:8">
      <c r="C19" t="s">
        <v>50</v>
      </c>
    </row>
    <row r="20" spans="3:8">
      <c r="C20" s="1" t="s">
        <v>2</v>
      </c>
      <c r="D20" s="1" t="s">
        <v>3</v>
      </c>
      <c r="E20" s="1" t="s">
        <v>4</v>
      </c>
      <c r="F20" s="1" t="s">
        <v>5</v>
      </c>
      <c r="G20" s="1" t="s">
        <v>6</v>
      </c>
      <c r="H20" s="1" t="s">
        <v>41</v>
      </c>
    </row>
    <row r="21" spans="3:8">
      <c r="C21" s="2"/>
      <c r="D21" s="3">
        <f>VLOOKUP($C$3,フィッテング定数!$B$6:$H$31,2)</f>
        <v>2.1019999999999999</v>
      </c>
      <c r="E21" s="3">
        <f>VLOOKUP($C$3,フィッテング定数!$B$6:$H$31,3)</f>
        <v>6.45</v>
      </c>
      <c r="F21" s="3">
        <f>VLOOKUP($C$3,フィッテング定数!$B$6:$H$31,4)</f>
        <v>0.44690000000000002</v>
      </c>
      <c r="G21" s="3">
        <f>しゃへい計算!H6</f>
        <v>1.5</v>
      </c>
      <c r="H21" s="62">
        <f>C29</f>
        <v>2.917053767750713E-3</v>
      </c>
    </row>
    <row r="24" spans="3:8">
      <c r="C24" t="s">
        <v>47</v>
      </c>
    </row>
    <row r="25" spans="3:8">
      <c r="C25" s="4">
        <f>1+$E21/$D21</f>
        <v>4.0685061845861092</v>
      </c>
    </row>
    <row r="26" spans="3:8">
      <c r="C26" s="4">
        <f>EXP($D21*$F21*G21)</f>
        <v>4.0921712616020445</v>
      </c>
    </row>
    <row r="27" spans="3:8">
      <c r="C27" s="4">
        <f>C25*C26</f>
        <v>16.649024086213458</v>
      </c>
    </row>
    <row r="28" spans="3:8">
      <c r="C28" s="4">
        <f>C27-$E21/$D21</f>
        <v>13.580517901627349</v>
      </c>
    </row>
    <row r="29" spans="3:8">
      <c r="C29" s="11">
        <f>C28^(-1/$F21)</f>
        <v>2.917053767750713E-3</v>
      </c>
    </row>
  </sheetData>
  <phoneticPr fontId="2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1"/>
  <sheetViews>
    <sheetView workbookViewId="0">
      <selection activeCell="C8" sqref="C8"/>
    </sheetView>
  </sheetViews>
  <sheetFormatPr baseColWidth="12" defaultColWidth="14.1640625" defaultRowHeight="18" x14ac:dyDescent="0"/>
  <cols>
    <col min="1" max="1" width="14.1640625" customWidth="1"/>
    <col min="2" max="2" width="13" customWidth="1"/>
    <col min="3" max="3" width="15.1640625" customWidth="1"/>
  </cols>
  <sheetData>
    <row r="2" spans="1:20">
      <c r="A2" t="s">
        <v>23</v>
      </c>
      <c r="B2">
        <f>しゃへい計算!D4</f>
        <v>135</v>
      </c>
    </row>
    <row r="4" spans="1:20">
      <c r="A4" t="s">
        <v>22</v>
      </c>
      <c r="B4">
        <f>0.016*($B$2-125)+8.434-0.1105*B5+9.828*0.0001*B5*B5-1.741*0.000001*B5*B5*B5</f>
        <v>8.5939999999999994</v>
      </c>
      <c r="C4">
        <f>0.016*($B$2-125)+8.434-0.1105*C5+9.828*0.0001*C5*C5-1.741*0.000001*C5*C5*C5</f>
        <v>7.5855389999999989</v>
      </c>
      <c r="D4">
        <f>0.016*($B$2-125)+8.434-0.1105*D5+9.828*0.0001*D5*D5-1.741*0.000001*D5*D5*D5</f>
        <v>6.7631919999999992</v>
      </c>
      <c r="E4">
        <f>0.016*($B$2-125)+8.434-0.1105*E5+9.828*0.0001*E5*E5-1.741*0.000001*E5*E5*E5</f>
        <v>6.1165130000000003</v>
      </c>
      <c r="F4">
        <f>0.016*($B$2-125)+8.434-0.1105*F5+9.828*0.0001*F5*F5-1.741*0.000001*F5*F5*F5</f>
        <v>5.6350559999999996</v>
      </c>
      <c r="G4">
        <f>0.016*($B$2-125)+8.434-0.1105*G5+9.828*0.0001*G5*G5-1.741*0.000001*G5*G5*G5</f>
        <v>5.3083749999999998</v>
      </c>
      <c r="H4">
        <f>0.016*($B$2-125)+8.434-0.1105*H5+9.828*0.0001*H5*H5-1.741*0.000001*H5*H5*H5</f>
        <v>5.1260239999999992</v>
      </c>
      <c r="I4">
        <f>0.016*($B$2-125)+8.434-0.1105*I5+9.828*0.0001*I5*I5-1.741*0.000001*I5*I5*I5</f>
        <v>5.0775569999999988</v>
      </c>
      <c r="J4">
        <f>0.016*($B$2-125)+8.434-0.1105*J5+9.828*0.0001*J5*J5-1.741*0.000001*J5*J5*J5</f>
        <v>5.1525280000000002</v>
      </c>
      <c r="K4">
        <f>0.016*($B$2-125)+8.434-0.1105*K5+9.828*0.0001*K5*K5-1.741*0.000001*K5*K5*K5</f>
        <v>5.3404909999999992</v>
      </c>
      <c r="L4">
        <f>0.016*($B$2-125)+8.434-0.1105*L5+9.828*0.0001*L5*L5-1.741*0.000001*L5*L5*L5</f>
        <v>5.6310000000000002</v>
      </c>
      <c r="M4">
        <f>0.016*($B$2-125)+8.434-0.1105*M5+9.828*0.0001*M5*M5-1.741*0.000001*M5*M5*M5</f>
        <v>6.0136090000000006</v>
      </c>
      <c r="N4">
        <f>0.016*($B$2-125)+8.434-0.1105*N5+9.828*0.0001*N5*N5-1.741*0.000001*N5*N5*N5</f>
        <v>6.4778719999999996</v>
      </c>
      <c r="O4">
        <f>0.016*($B$2-125)+8.434-0.1105*O5+9.828*0.0001*O5*O5-1.741*0.000001*O5*O5*O5</f>
        <v>7.0133430000000034</v>
      </c>
      <c r="P4">
        <f>0.016*($B$2-125)+8.434-0.1105*P5+9.828*0.0001*P5*P5-1.741*0.000001*P5*P5*P5</f>
        <v>7.6095759999999979</v>
      </c>
      <c r="Q4">
        <f>0.016*($B$2-125)+8.434-0.1105*Q5+9.828*0.0001*Q5*Q5-1.741*0.000001*Q5*Q5*Q5</f>
        <v>8.2561250000000008</v>
      </c>
      <c r="R4">
        <f>0.016*($B$2-125)+8.434-0.1105*R5+9.828*0.0001*R5*R5-1.741*0.000001*R5*R5*R5</f>
        <v>8.9425440000000052</v>
      </c>
      <c r="S4">
        <f>0.016*($B$2-125)+8.434-0.1105*S5+9.828*0.0001*S5*S5-1.741*0.000001*S5*S5*S5</f>
        <v>9.6583869999999994</v>
      </c>
      <c r="T4">
        <f>0.016*($B$2-125)+8.434-0.1105*T5+9.828*0.0001*T5*T5-1.741*0.000001*T5*T5*T5</f>
        <v>10.393208000000001</v>
      </c>
    </row>
    <row r="5" spans="1:20">
      <c r="A5" t="s">
        <v>24</v>
      </c>
      <c r="B5">
        <v>0</v>
      </c>
      <c r="C5">
        <v>10</v>
      </c>
      <c r="D5">
        <v>20</v>
      </c>
      <c r="E5">
        <v>30</v>
      </c>
      <c r="F5">
        <v>40</v>
      </c>
      <c r="G5">
        <v>50</v>
      </c>
      <c r="H5">
        <v>60</v>
      </c>
      <c r="I5">
        <v>70</v>
      </c>
      <c r="J5">
        <v>80</v>
      </c>
      <c r="K5">
        <v>90</v>
      </c>
      <c r="L5">
        <v>100</v>
      </c>
      <c r="M5">
        <v>110</v>
      </c>
      <c r="N5">
        <v>120</v>
      </c>
      <c r="O5">
        <v>130</v>
      </c>
      <c r="P5">
        <v>140</v>
      </c>
      <c r="Q5">
        <v>150</v>
      </c>
      <c r="R5">
        <v>160</v>
      </c>
      <c r="S5">
        <v>170</v>
      </c>
      <c r="T5">
        <v>180</v>
      </c>
    </row>
    <row r="6" spans="1:20">
      <c r="A6" t="s">
        <v>45</v>
      </c>
      <c r="B6">
        <f>B4</f>
        <v>8.5939999999999994</v>
      </c>
      <c r="C6">
        <f t="shared" ref="C6:T6" si="0">C4</f>
        <v>7.5855389999999989</v>
      </c>
      <c r="D6">
        <f t="shared" si="0"/>
        <v>6.7631919999999992</v>
      </c>
      <c r="E6">
        <f t="shared" si="0"/>
        <v>6.1165130000000003</v>
      </c>
      <c r="F6">
        <f t="shared" si="0"/>
        <v>5.6350559999999996</v>
      </c>
      <c r="G6">
        <f t="shared" si="0"/>
        <v>5.3083749999999998</v>
      </c>
      <c r="H6">
        <f t="shared" si="0"/>
        <v>5.1260239999999992</v>
      </c>
      <c r="I6">
        <f t="shared" si="0"/>
        <v>5.0775569999999988</v>
      </c>
      <c r="J6">
        <f t="shared" si="0"/>
        <v>5.1525280000000002</v>
      </c>
      <c r="K6">
        <f t="shared" si="0"/>
        <v>5.3404909999999992</v>
      </c>
      <c r="L6">
        <f t="shared" si="0"/>
        <v>5.6310000000000002</v>
      </c>
      <c r="M6">
        <f t="shared" si="0"/>
        <v>6.0136090000000006</v>
      </c>
      <c r="N6">
        <f t="shared" si="0"/>
        <v>6.4778719999999996</v>
      </c>
      <c r="O6">
        <f t="shared" si="0"/>
        <v>7.0133430000000034</v>
      </c>
      <c r="P6">
        <f t="shared" si="0"/>
        <v>7.6095759999999979</v>
      </c>
      <c r="Q6">
        <f t="shared" si="0"/>
        <v>8.2561250000000008</v>
      </c>
      <c r="R6">
        <f t="shared" si="0"/>
        <v>8.9425440000000052</v>
      </c>
      <c r="S6">
        <f t="shared" si="0"/>
        <v>9.6583869999999994</v>
      </c>
      <c r="T6">
        <f t="shared" si="0"/>
        <v>10.393208000000001</v>
      </c>
    </row>
    <row r="7" spans="1:20">
      <c r="A7" t="s">
        <v>46</v>
      </c>
      <c r="B7">
        <f>B6*400/10000</f>
        <v>0.34376000000000001</v>
      </c>
      <c r="C7">
        <f>C6*400/10000</f>
        <v>0.30342155999999998</v>
      </c>
      <c r="D7">
        <f t="shared" ref="D7:T7" si="1">D6*400/10000</f>
        <v>0.27052767999999994</v>
      </c>
      <c r="E7">
        <f t="shared" si="1"/>
        <v>0.24466051999999999</v>
      </c>
      <c r="F7">
        <f t="shared" si="1"/>
        <v>0.22540223999999998</v>
      </c>
      <c r="G7">
        <f t="shared" si="1"/>
        <v>0.212335</v>
      </c>
      <c r="H7">
        <f t="shared" si="1"/>
        <v>0.20504095999999994</v>
      </c>
      <c r="I7">
        <f t="shared" si="1"/>
        <v>0.20310227999999994</v>
      </c>
      <c r="J7">
        <f t="shared" si="1"/>
        <v>0.20610112</v>
      </c>
      <c r="K7">
        <f t="shared" si="1"/>
        <v>0.21361963999999997</v>
      </c>
      <c r="L7">
        <f t="shared" si="1"/>
        <v>0.22524</v>
      </c>
      <c r="M7">
        <f t="shared" si="1"/>
        <v>0.24054436000000001</v>
      </c>
      <c r="N7">
        <f t="shared" si="1"/>
        <v>0.25911487999999999</v>
      </c>
      <c r="O7">
        <f t="shared" si="1"/>
        <v>0.28053372000000015</v>
      </c>
      <c r="P7">
        <f t="shared" si="1"/>
        <v>0.30438303999999994</v>
      </c>
      <c r="Q7">
        <f t="shared" si="1"/>
        <v>0.33024500000000001</v>
      </c>
      <c r="R7">
        <f t="shared" si="1"/>
        <v>0.3577017600000002</v>
      </c>
      <c r="S7">
        <f t="shared" si="1"/>
        <v>0.38633547999999995</v>
      </c>
      <c r="T7">
        <f t="shared" si="1"/>
        <v>0.4157283200000001</v>
      </c>
    </row>
    <row r="8" spans="1:20">
      <c r="A8" t="s">
        <v>25</v>
      </c>
      <c r="B8">
        <v>0</v>
      </c>
      <c r="C8">
        <v>10</v>
      </c>
      <c r="D8">
        <v>20</v>
      </c>
      <c r="E8">
        <v>30</v>
      </c>
      <c r="F8">
        <v>40</v>
      </c>
      <c r="G8">
        <v>50</v>
      </c>
      <c r="H8">
        <v>60</v>
      </c>
      <c r="I8">
        <v>70</v>
      </c>
      <c r="J8">
        <v>80</v>
      </c>
      <c r="K8">
        <v>90</v>
      </c>
      <c r="L8">
        <v>100</v>
      </c>
      <c r="M8">
        <v>110</v>
      </c>
      <c r="N8">
        <v>120</v>
      </c>
      <c r="O8">
        <v>130</v>
      </c>
      <c r="P8">
        <v>140</v>
      </c>
      <c r="Q8">
        <v>150</v>
      </c>
      <c r="R8">
        <v>160</v>
      </c>
      <c r="S8">
        <v>170</v>
      </c>
      <c r="T8">
        <v>180</v>
      </c>
    </row>
    <row r="9" spans="1:20">
      <c r="A9" t="s">
        <v>43</v>
      </c>
      <c r="C9">
        <f>C7/$K7</f>
        <v>1.4203823206517903</v>
      </c>
      <c r="D9">
        <f>D7/$K7</f>
        <v>1.2663989135081399</v>
      </c>
      <c r="E9">
        <f t="shared" ref="E9:T9" si="2">E7/$K7</f>
        <v>1.1453091110910965</v>
      </c>
      <c r="F9">
        <f t="shared" si="2"/>
        <v>1.0551569134748098</v>
      </c>
      <c r="G9">
        <f t="shared" si="2"/>
        <v>0.99398632073343085</v>
      </c>
      <c r="H9">
        <f t="shared" si="2"/>
        <v>0.95984133294110952</v>
      </c>
      <c r="I9">
        <f t="shared" si="2"/>
        <v>0.95076595017199717</v>
      </c>
      <c r="J9">
        <f t="shared" si="2"/>
        <v>0.96480417250024397</v>
      </c>
      <c r="K9">
        <f t="shared" si="2"/>
        <v>1</v>
      </c>
      <c r="L9">
        <f t="shared" si="2"/>
        <v>1.0543974327454162</v>
      </c>
      <c r="M9">
        <f t="shared" si="2"/>
        <v>1.1260404708106428</v>
      </c>
      <c r="N9">
        <f t="shared" si="2"/>
        <v>1.2129731142698303</v>
      </c>
      <c r="O9">
        <f t="shared" si="2"/>
        <v>1.3132393631971302</v>
      </c>
      <c r="P9">
        <f t="shared" si="2"/>
        <v>1.4248832176666901</v>
      </c>
      <c r="Q9">
        <f t="shared" si="2"/>
        <v>1.5459486777526639</v>
      </c>
      <c r="R9">
        <f t="shared" si="2"/>
        <v>1.6744797435292009</v>
      </c>
      <c r="S9">
        <f t="shared" si="2"/>
        <v>1.8085204150704495</v>
      </c>
      <c r="T9">
        <f t="shared" si="2"/>
        <v>1.9461146924505637</v>
      </c>
    </row>
    <row r="13" spans="1:20">
      <c r="A13">
        <v>0</v>
      </c>
      <c r="B13">
        <f>B7</f>
        <v>0.34376000000000001</v>
      </c>
    </row>
    <row r="14" spans="1:20">
      <c r="A14">
        <v>10</v>
      </c>
      <c r="B14">
        <f>C7</f>
        <v>0.30342155999999998</v>
      </c>
    </row>
    <row r="15" spans="1:20">
      <c r="A15">
        <v>20</v>
      </c>
      <c r="B15">
        <f>D7</f>
        <v>0.27052767999999994</v>
      </c>
    </row>
    <row r="16" spans="1:20">
      <c r="A16">
        <v>30</v>
      </c>
      <c r="B16">
        <f>E7</f>
        <v>0.24466051999999999</v>
      </c>
    </row>
    <row r="17" spans="1:2">
      <c r="A17">
        <v>40</v>
      </c>
      <c r="B17">
        <f>F7</f>
        <v>0.22540223999999998</v>
      </c>
    </row>
    <row r="18" spans="1:2">
      <c r="A18">
        <v>50</v>
      </c>
      <c r="B18">
        <f>G7</f>
        <v>0.212335</v>
      </c>
    </row>
    <row r="19" spans="1:2">
      <c r="A19">
        <v>60</v>
      </c>
      <c r="B19">
        <f>H7</f>
        <v>0.20504095999999994</v>
      </c>
    </row>
    <row r="20" spans="1:2">
      <c r="A20">
        <v>70</v>
      </c>
      <c r="B20">
        <f>I7</f>
        <v>0.20310227999999994</v>
      </c>
    </row>
    <row r="21" spans="1:2">
      <c r="A21">
        <v>80</v>
      </c>
      <c r="B21">
        <f>J7</f>
        <v>0.20610112</v>
      </c>
    </row>
    <row r="22" spans="1:2">
      <c r="A22">
        <v>90</v>
      </c>
      <c r="B22">
        <f>K7</f>
        <v>0.21361963999999997</v>
      </c>
    </row>
    <row r="23" spans="1:2">
      <c r="A23">
        <v>100</v>
      </c>
      <c r="B23">
        <f>L7</f>
        <v>0.22524</v>
      </c>
    </row>
    <row r="24" spans="1:2">
      <c r="A24">
        <v>110</v>
      </c>
      <c r="B24">
        <f>M7</f>
        <v>0.24054436000000001</v>
      </c>
    </row>
    <row r="25" spans="1:2">
      <c r="A25">
        <v>120</v>
      </c>
      <c r="B25">
        <f>N7</f>
        <v>0.25911487999999999</v>
      </c>
    </row>
    <row r="26" spans="1:2">
      <c r="A26">
        <v>130</v>
      </c>
      <c r="B26">
        <f>O7</f>
        <v>0.28053372000000015</v>
      </c>
    </row>
    <row r="27" spans="1:2">
      <c r="A27">
        <v>140</v>
      </c>
      <c r="B27">
        <f>P7</f>
        <v>0.30438303999999994</v>
      </c>
    </row>
    <row r="28" spans="1:2">
      <c r="A28">
        <v>150</v>
      </c>
      <c r="B28">
        <f>Q7</f>
        <v>0.33024500000000001</v>
      </c>
    </row>
    <row r="29" spans="1:2">
      <c r="A29">
        <v>160</v>
      </c>
      <c r="B29">
        <f>R7</f>
        <v>0.3577017600000002</v>
      </c>
    </row>
    <row r="30" spans="1:2">
      <c r="A30">
        <v>170</v>
      </c>
      <c r="B30">
        <f t="array" ref="B30">S7</f>
        <v>0.38633547999999995</v>
      </c>
    </row>
    <row r="31" spans="1:2">
      <c r="A31">
        <v>180</v>
      </c>
      <c r="B31">
        <f>T7</f>
        <v>0.4157283200000001</v>
      </c>
    </row>
  </sheetData>
  <phoneticPr fontId="2"/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しゃへい計算</vt:lpstr>
      <vt:lpstr>フィッテング定数</vt:lpstr>
      <vt:lpstr>利用線錐空気カーマ</vt:lpstr>
      <vt:lpstr>透過</vt:lpstr>
      <vt:lpstr>散乱係数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 一郎</dc:creator>
  <cp:lastModifiedBy>山口 一郎</cp:lastModifiedBy>
  <dcterms:created xsi:type="dcterms:W3CDTF">2014-01-27T03:23:48Z</dcterms:created>
  <dcterms:modified xsi:type="dcterms:W3CDTF">2014-01-27T05:15:40Z</dcterms:modified>
</cp:coreProperties>
</file>